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120" windowWidth="13395" windowHeight="6180" tabRatio="910"/>
  </bookViews>
  <sheets>
    <sheet name="Front Page" sheetId="1" r:id="rId1"/>
    <sheet name="Variable Guidance" sheetId="21" r:id="rId2"/>
    <sheet name="Tips for Using the Tool" sheetId="45" r:id="rId3"/>
    <sheet name="Tenure Split (WALES)" sheetId="18" r:id="rId4"/>
    <sheet name="Tenure Split (North Wales)" sheetId="33" r:id="rId5"/>
    <sheet name="Tenure Split (Mid and SW Wales)" sheetId="41" r:id="rId6"/>
    <sheet name="Tenure Split (SE Wales)" sheetId="42" r:id="rId7"/>
    <sheet name="Workings - Wales" sheetId="17" r:id="rId8"/>
    <sheet name="Workings - North Wales" sheetId="34" r:id="rId9"/>
    <sheet name="Workings - Mid and SW Wales" sheetId="39" r:id="rId10"/>
    <sheet name="Workings - SE Wales" sheetId="40" r:id="rId11"/>
    <sheet name="Household Projections" sheetId="23" r:id="rId12"/>
    <sheet name="Yearly Assumptions" sheetId="25" r:id="rId13"/>
    <sheet name="Future Forecasts" sheetId="22" r:id="rId14"/>
    <sheet name="Existing Unmet Need" sheetId="7" r:id="rId15"/>
    <sheet name="Rental Prices" sheetId="27" r:id="rId16"/>
    <sheet name="Income (Wales)" sheetId="10" r:id="rId17"/>
    <sheet name="Income (North Wales)" sheetId="30" r:id="rId18"/>
    <sheet name="Income (Mid and SW Wales)" sheetId="31" r:id="rId19"/>
    <sheet name="Income (SE Wales)" sheetId="32" r:id="rId20"/>
    <sheet name="House Prices (Wales)" sheetId="26" r:id="rId21"/>
    <sheet name="House Prices (North Wales)" sheetId="36" r:id="rId22"/>
    <sheet name="House Prices (Mid and SW Wales)" sheetId="37" r:id="rId23"/>
    <sheet name="House Prices (SE Wales)" sheetId="38" r:id="rId24"/>
    <sheet name="Newly Arising Need" sheetId="24" r:id="rId25"/>
    <sheet name="Regional Map" sheetId="44" r:id="rId26"/>
  </sheets>
  <calcPr calcId="162913"/>
</workbook>
</file>

<file path=xl/calcChain.xml><?xml version="1.0" encoding="utf-8"?>
<calcChain xmlns="http://schemas.openxmlformats.org/spreadsheetml/2006/main">
  <c r="C111" i="18" l="1"/>
  <c r="D6" i="23" l="1"/>
  <c r="E6" i="23"/>
  <c r="F6" i="23"/>
  <c r="G6" i="23"/>
  <c r="H6" i="23"/>
  <c r="I6" i="23"/>
  <c r="D10" i="23" l="1"/>
  <c r="J6" i="23"/>
  <c r="E22" i="23"/>
  <c r="F22" i="23"/>
  <c r="G22" i="23"/>
  <c r="H22" i="23"/>
  <c r="I22" i="23"/>
  <c r="D22" i="23"/>
  <c r="E18" i="23"/>
  <c r="F18" i="23"/>
  <c r="G18" i="23"/>
  <c r="H18" i="23"/>
  <c r="I18" i="23"/>
  <c r="D18" i="23"/>
  <c r="E14" i="23"/>
  <c r="F14" i="23"/>
  <c r="G14" i="23"/>
  <c r="H14" i="23"/>
  <c r="I14" i="23"/>
  <c r="D14" i="23"/>
  <c r="E10" i="23"/>
  <c r="F10" i="23"/>
  <c r="G10" i="23"/>
  <c r="H10" i="23"/>
  <c r="I10" i="23"/>
  <c r="C113" i="18" l="1"/>
  <c r="J23" i="23" l="1"/>
  <c r="F9" i="18" l="1"/>
  <c r="N5" i="30" l="1"/>
  <c r="N6" i="30"/>
  <c r="N7" i="3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4" i="30"/>
  <c r="J26" i="23"/>
  <c r="F6" i="18" s="1"/>
  <c r="K26" i="23" l="1"/>
  <c r="N85" i="30"/>
  <c r="B201" i="42"/>
  <c r="B200" i="42"/>
  <c r="D117" i="18" l="1"/>
  <c r="D117" i="42" s="1"/>
  <c r="E117" i="18"/>
  <c r="F117" i="18"/>
  <c r="F117" i="41" s="1"/>
  <c r="G117" i="18"/>
  <c r="G117" i="41" s="1"/>
  <c r="C117" i="18"/>
  <c r="D108" i="18"/>
  <c r="D108" i="42" s="1"/>
  <c r="E108" i="18"/>
  <c r="E108" i="41" s="1"/>
  <c r="F108" i="18"/>
  <c r="F108" i="33" s="1"/>
  <c r="G108" i="18"/>
  <c r="C108" i="18"/>
  <c r="D114" i="18"/>
  <c r="D114" i="42" s="1"/>
  <c r="E114" i="18"/>
  <c r="E114" i="42" s="1"/>
  <c r="F114" i="18"/>
  <c r="F114" i="41" s="1"/>
  <c r="G114" i="18"/>
  <c r="C114" i="18"/>
  <c r="C114" i="42" s="1"/>
  <c r="C117" i="41" l="1"/>
  <c r="C179" i="41" s="1"/>
  <c r="C179" i="18"/>
  <c r="C108" i="41"/>
  <c r="C178" i="41" s="1"/>
  <c r="C178" i="18"/>
  <c r="D117" i="41"/>
  <c r="F114" i="42"/>
  <c r="F114" i="33"/>
  <c r="F117" i="33"/>
  <c r="F117" i="42"/>
  <c r="C114" i="41"/>
  <c r="D114" i="41"/>
  <c r="E108" i="42"/>
  <c r="E117" i="42"/>
  <c r="E117" i="33"/>
  <c r="E117" i="41"/>
  <c r="G114" i="41"/>
  <c r="G114" i="42"/>
  <c r="G114" i="33"/>
  <c r="G117" i="33"/>
  <c r="C117" i="33"/>
  <c r="C179" i="33" s="1"/>
  <c r="E114" i="41"/>
  <c r="G117" i="42"/>
  <c r="C117" i="42"/>
  <c r="C179" i="42" s="1"/>
  <c r="E114" i="33"/>
  <c r="C114" i="33"/>
  <c r="D114" i="33"/>
  <c r="D117" i="33"/>
  <c r="F108" i="41"/>
  <c r="G108" i="33"/>
  <c r="E108" i="33"/>
  <c r="D108" i="41"/>
  <c r="G108" i="42"/>
  <c r="C108" i="42"/>
  <c r="C178" i="42" s="1"/>
  <c r="C108" i="33"/>
  <c r="C178" i="33" s="1"/>
  <c r="D108" i="33"/>
  <c r="G108" i="41"/>
  <c r="F108" i="42"/>
  <c r="B204" i="42" l="1"/>
  <c r="B203" i="42"/>
  <c r="B202" i="42"/>
  <c r="B199" i="42"/>
  <c r="B198" i="42"/>
  <c r="D169" i="42"/>
  <c r="C169" i="42"/>
  <c r="D25" i="42"/>
  <c r="D23" i="42"/>
  <c r="D22" i="42"/>
  <c r="D21" i="42"/>
  <c r="D20" i="42"/>
  <c r="D18" i="42"/>
  <c r="D16" i="42"/>
  <c r="D15" i="42"/>
  <c r="C182" i="42" s="1"/>
  <c r="D14" i="42"/>
  <c r="D12" i="42"/>
  <c r="D11" i="42"/>
  <c r="D9" i="42"/>
  <c r="D8" i="42"/>
  <c r="C172" i="42" s="1"/>
  <c r="D7" i="42"/>
  <c r="C171" i="42" s="1"/>
  <c r="D6" i="42"/>
  <c r="C170" i="42" s="1"/>
  <c r="F7" i="42" l="1"/>
  <c r="E7" i="42" s="1"/>
  <c r="C123" i="42" s="1"/>
  <c r="D20" i="7"/>
  <c r="C174" i="42"/>
  <c r="F9" i="42"/>
  <c r="C173" i="42"/>
  <c r="C184" i="42"/>
  <c r="C183" i="42"/>
  <c r="C175" i="42"/>
  <c r="C181" i="42"/>
  <c r="C175" i="41"/>
  <c r="B201" i="41"/>
  <c r="B200" i="41"/>
  <c r="B204" i="41"/>
  <c r="B203" i="41"/>
  <c r="B202" i="41"/>
  <c r="B199" i="41"/>
  <c r="B198" i="41"/>
  <c r="D169" i="41"/>
  <c r="C169" i="41"/>
  <c r="D25" i="41"/>
  <c r="D23" i="41"/>
  <c r="D22" i="41"/>
  <c r="D21" i="41"/>
  <c r="D20" i="41"/>
  <c r="D18" i="41"/>
  <c r="C173" i="41" s="1"/>
  <c r="D16" i="41"/>
  <c r="C184" i="41" s="1"/>
  <c r="D15" i="41"/>
  <c r="D14" i="41"/>
  <c r="D12" i="41"/>
  <c r="D11" i="41"/>
  <c r="D9" i="41"/>
  <c r="D8" i="41"/>
  <c r="D7" i="41"/>
  <c r="C171" i="41" s="1"/>
  <c r="D6" i="41"/>
  <c r="T84" i="38"/>
  <c r="N84" i="38"/>
  <c r="L84" i="38"/>
  <c r="T83" i="38"/>
  <c r="N83" i="38"/>
  <c r="L83" i="38"/>
  <c r="T82" i="38"/>
  <c r="N82" i="38"/>
  <c r="L82" i="38"/>
  <c r="T81" i="38"/>
  <c r="N81" i="38"/>
  <c r="L81" i="38"/>
  <c r="T80" i="38"/>
  <c r="N80" i="38"/>
  <c r="L80" i="38"/>
  <c r="T79" i="38"/>
  <c r="N79" i="38"/>
  <c r="L79" i="38"/>
  <c r="T78" i="38"/>
  <c r="N78" i="38"/>
  <c r="L78" i="38"/>
  <c r="T77" i="38"/>
  <c r="N77" i="38"/>
  <c r="L77" i="38"/>
  <c r="T76" i="38"/>
  <c r="N76" i="38"/>
  <c r="L76" i="38"/>
  <c r="T75" i="38"/>
  <c r="N75" i="38"/>
  <c r="L75" i="38"/>
  <c r="T74" i="38"/>
  <c r="N74" i="38"/>
  <c r="L74" i="38"/>
  <c r="T73" i="38"/>
  <c r="N73" i="38"/>
  <c r="L73" i="38"/>
  <c r="T72" i="38"/>
  <c r="N72" i="38"/>
  <c r="L72" i="38"/>
  <c r="T71" i="38"/>
  <c r="N71" i="38"/>
  <c r="L71" i="38"/>
  <c r="T70" i="38"/>
  <c r="N70" i="38"/>
  <c r="L70" i="38"/>
  <c r="T69" i="38"/>
  <c r="N69" i="38"/>
  <c r="L69" i="38"/>
  <c r="T68" i="38"/>
  <c r="N68" i="38"/>
  <c r="L68" i="38"/>
  <c r="T67" i="38"/>
  <c r="N67" i="38"/>
  <c r="L67" i="38"/>
  <c r="T66" i="38"/>
  <c r="N66" i="38"/>
  <c r="L66" i="38"/>
  <c r="T65" i="38"/>
  <c r="N65" i="38"/>
  <c r="L65" i="38"/>
  <c r="T64" i="38"/>
  <c r="N64" i="38"/>
  <c r="L64" i="38"/>
  <c r="T63" i="38"/>
  <c r="N63" i="38"/>
  <c r="L63" i="38"/>
  <c r="T62" i="38"/>
  <c r="N62" i="38"/>
  <c r="L62" i="38"/>
  <c r="T61" i="38"/>
  <c r="N61" i="38"/>
  <c r="L61" i="38"/>
  <c r="T60" i="38"/>
  <c r="N60" i="38"/>
  <c r="L60" i="38"/>
  <c r="T59" i="38"/>
  <c r="N59" i="38"/>
  <c r="L59" i="38"/>
  <c r="T58" i="38"/>
  <c r="N58" i="38"/>
  <c r="L58" i="38"/>
  <c r="T57" i="38"/>
  <c r="N57" i="38"/>
  <c r="L57" i="38"/>
  <c r="T56" i="38"/>
  <c r="N56" i="38"/>
  <c r="L56" i="38"/>
  <c r="T55" i="38"/>
  <c r="N55" i="38"/>
  <c r="L55" i="38"/>
  <c r="T54" i="38"/>
  <c r="N54" i="38"/>
  <c r="L54" i="38"/>
  <c r="T53" i="38"/>
  <c r="N53" i="38"/>
  <c r="L53" i="38"/>
  <c r="T52" i="38"/>
  <c r="N52" i="38"/>
  <c r="L52" i="38"/>
  <c r="T51" i="38"/>
  <c r="N51" i="38"/>
  <c r="L51" i="38"/>
  <c r="T50" i="38"/>
  <c r="N50" i="38"/>
  <c r="L50" i="38"/>
  <c r="T49" i="38"/>
  <c r="N49" i="38"/>
  <c r="L49" i="38"/>
  <c r="T48" i="38"/>
  <c r="N48" i="38"/>
  <c r="L48" i="38"/>
  <c r="T47" i="38"/>
  <c r="N47" i="38"/>
  <c r="L47" i="38"/>
  <c r="T46" i="38"/>
  <c r="N46" i="38"/>
  <c r="L46" i="38"/>
  <c r="T45" i="38"/>
  <c r="N45" i="38"/>
  <c r="L45" i="38"/>
  <c r="T44" i="38"/>
  <c r="N44" i="38"/>
  <c r="L44" i="38"/>
  <c r="T43" i="38"/>
  <c r="N43" i="38"/>
  <c r="L43" i="38"/>
  <c r="T42" i="38"/>
  <c r="N42" i="38"/>
  <c r="L42" i="38"/>
  <c r="T41" i="38"/>
  <c r="N41" i="38"/>
  <c r="L41" i="38"/>
  <c r="T40" i="38"/>
  <c r="N40" i="38"/>
  <c r="L40" i="38"/>
  <c r="T39" i="38"/>
  <c r="N39" i="38"/>
  <c r="L39" i="38"/>
  <c r="T38" i="38"/>
  <c r="N38" i="38"/>
  <c r="L38" i="38"/>
  <c r="T37" i="38"/>
  <c r="N37" i="38"/>
  <c r="L37" i="38"/>
  <c r="T36" i="38"/>
  <c r="N36" i="38"/>
  <c r="L36" i="38"/>
  <c r="T35" i="38"/>
  <c r="N35" i="38"/>
  <c r="L35" i="38"/>
  <c r="T34" i="38"/>
  <c r="N34" i="38"/>
  <c r="L34" i="38"/>
  <c r="T33" i="38"/>
  <c r="N33" i="38"/>
  <c r="L33" i="38"/>
  <c r="T32" i="38"/>
  <c r="N32" i="38"/>
  <c r="L32" i="38"/>
  <c r="T31" i="38"/>
  <c r="N31" i="38"/>
  <c r="L31" i="38"/>
  <c r="T30" i="38"/>
  <c r="N30" i="38"/>
  <c r="L30" i="38"/>
  <c r="T29" i="38"/>
  <c r="N29" i="38"/>
  <c r="L29" i="38"/>
  <c r="T28" i="38"/>
  <c r="N28" i="38"/>
  <c r="L28" i="38"/>
  <c r="T27" i="38"/>
  <c r="N27" i="38"/>
  <c r="L27" i="38"/>
  <c r="T26" i="38"/>
  <c r="N26" i="38"/>
  <c r="L26" i="38"/>
  <c r="T25" i="38"/>
  <c r="N25" i="38"/>
  <c r="L25" i="38"/>
  <c r="T24" i="38"/>
  <c r="N24" i="38"/>
  <c r="L24" i="38"/>
  <c r="T23" i="38"/>
  <c r="N23" i="38"/>
  <c r="L23" i="38"/>
  <c r="T22" i="38"/>
  <c r="N22" i="38"/>
  <c r="L22" i="38"/>
  <c r="T21" i="38"/>
  <c r="N21" i="38"/>
  <c r="L21" i="38"/>
  <c r="T20" i="38"/>
  <c r="N20" i="38"/>
  <c r="L20" i="38"/>
  <c r="T19" i="38"/>
  <c r="N19" i="38"/>
  <c r="L19" i="38"/>
  <c r="T18" i="38"/>
  <c r="N18" i="38"/>
  <c r="L18" i="38"/>
  <c r="T17" i="38"/>
  <c r="N17" i="38"/>
  <c r="L17" i="38"/>
  <c r="T16" i="38"/>
  <c r="N16" i="38"/>
  <c r="L16" i="38"/>
  <c r="T15" i="38"/>
  <c r="N15" i="38"/>
  <c r="L15" i="38"/>
  <c r="T14" i="38"/>
  <c r="N14" i="38"/>
  <c r="L14" i="38"/>
  <c r="T13" i="38"/>
  <c r="N13" i="38"/>
  <c r="L13" i="38"/>
  <c r="T12" i="38"/>
  <c r="N12" i="38"/>
  <c r="L12" i="38"/>
  <c r="T11" i="38"/>
  <c r="N11" i="38"/>
  <c r="L11" i="38"/>
  <c r="T10" i="38"/>
  <c r="N10" i="38"/>
  <c r="L10" i="38"/>
  <c r="T9" i="38"/>
  <c r="N9" i="38"/>
  <c r="L9" i="38"/>
  <c r="T8" i="38"/>
  <c r="N8" i="38"/>
  <c r="L8" i="38"/>
  <c r="T7" i="38"/>
  <c r="N7" i="38"/>
  <c r="L7" i="38"/>
  <c r="T6" i="38"/>
  <c r="N6" i="38"/>
  <c r="L6" i="38"/>
  <c r="T5" i="38"/>
  <c r="N5" i="38"/>
  <c r="L5" i="38"/>
  <c r="T4" i="38"/>
  <c r="N4" i="38"/>
  <c r="L4" i="38"/>
  <c r="J4" i="38"/>
  <c r="J9" i="38" s="1"/>
  <c r="M3" i="38"/>
  <c r="U64" i="38" s="1"/>
  <c r="T84" i="37"/>
  <c r="N84" i="37"/>
  <c r="L84" i="37"/>
  <c r="T83" i="37"/>
  <c r="N83" i="37"/>
  <c r="L83" i="37"/>
  <c r="T82" i="37"/>
  <c r="N82" i="37"/>
  <c r="L82" i="37"/>
  <c r="T81" i="37"/>
  <c r="N81" i="37"/>
  <c r="L81" i="37"/>
  <c r="T80" i="37"/>
  <c r="N80" i="37"/>
  <c r="L80" i="37"/>
  <c r="T79" i="37"/>
  <c r="N79" i="37"/>
  <c r="L79" i="37"/>
  <c r="T78" i="37"/>
  <c r="N78" i="37"/>
  <c r="L78" i="37"/>
  <c r="T77" i="37"/>
  <c r="N77" i="37"/>
  <c r="L77" i="37"/>
  <c r="T76" i="37"/>
  <c r="N76" i="37"/>
  <c r="L76" i="37"/>
  <c r="T75" i="37"/>
  <c r="N75" i="37"/>
  <c r="L75" i="37"/>
  <c r="T74" i="37"/>
  <c r="N74" i="37"/>
  <c r="L74" i="37"/>
  <c r="T73" i="37"/>
  <c r="N73" i="37"/>
  <c r="L73" i="37"/>
  <c r="T72" i="37"/>
  <c r="N72" i="37"/>
  <c r="L72" i="37"/>
  <c r="T71" i="37"/>
  <c r="N71" i="37"/>
  <c r="L71" i="37"/>
  <c r="T70" i="37"/>
  <c r="N70" i="37"/>
  <c r="L70" i="37"/>
  <c r="T69" i="37"/>
  <c r="N69" i="37"/>
  <c r="L69" i="37"/>
  <c r="T68" i="37"/>
  <c r="N68" i="37"/>
  <c r="L68" i="37"/>
  <c r="T67" i="37"/>
  <c r="N67" i="37"/>
  <c r="L67" i="37"/>
  <c r="T66" i="37"/>
  <c r="N66" i="37"/>
  <c r="L66" i="37"/>
  <c r="T65" i="37"/>
  <c r="N65" i="37"/>
  <c r="L65" i="37"/>
  <c r="T64" i="37"/>
  <c r="N64" i="37"/>
  <c r="L64" i="37"/>
  <c r="T63" i="37"/>
  <c r="N63" i="37"/>
  <c r="L63" i="37"/>
  <c r="T62" i="37"/>
  <c r="N62" i="37"/>
  <c r="L62" i="37"/>
  <c r="T61" i="37"/>
  <c r="N61" i="37"/>
  <c r="L61" i="37"/>
  <c r="T60" i="37"/>
  <c r="N60" i="37"/>
  <c r="L60" i="37"/>
  <c r="T59" i="37"/>
  <c r="N59" i="37"/>
  <c r="L59" i="37"/>
  <c r="T58" i="37"/>
  <c r="N58" i="37"/>
  <c r="L58" i="37"/>
  <c r="T57" i="37"/>
  <c r="N57" i="37"/>
  <c r="L57" i="37"/>
  <c r="T56" i="37"/>
  <c r="N56" i="37"/>
  <c r="L56" i="37"/>
  <c r="T55" i="37"/>
  <c r="N55" i="37"/>
  <c r="L55" i="37"/>
  <c r="T54" i="37"/>
  <c r="N54" i="37"/>
  <c r="L54" i="37"/>
  <c r="T53" i="37"/>
  <c r="N53" i="37"/>
  <c r="L53" i="37"/>
  <c r="T52" i="37"/>
  <c r="N52" i="37"/>
  <c r="L52" i="37"/>
  <c r="T51" i="37"/>
  <c r="N51" i="37"/>
  <c r="L51" i="37"/>
  <c r="T50" i="37"/>
  <c r="N50" i="37"/>
  <c r="L50" i="37"/>
  <c r="T49" i="37"/>
  <c r="N49" i="37"/>
  <c r="L49" i="37"/>
  <c r="T48" i="37"/>
  <c r="N48" i="37"/>
  <c r="L48" i="37"/>
  <c r="T47" i="37"/>
  <c r="N47" i="37"/>
  <c r="L47" i="37"/>
  <c r="T46" i="37"/>
  <c r="N46" i="37"/>
  <c r="L46" i="37"/>
  <c r="T45" i="37"/>
  <c r="N45" i="37"/>
  <c r="L45" i="37"/>
  <c r="T44" i="37"/>
  <c r="N44" i="37"/>
  <c r="L44" i="37"/>
  <c r="T43" i="37"/>
  <c r="N43" i="37"/>
  <c r="L43" i="37"/>
  <c r="T42" i="37"/>
  <c r="N42" i="37"/>
  <c r="L42" i="37"/>
  <c r="T41" i="37"/>
  <c r="N41" i="37"/>
  <c r="L41" i="37"/>
  <c r="T40" i="37"/>
  <c r="N40" i="37"/>
  <c r="L40" i="37"/>
  <c r="T39" i="37"/>
  <c r="N39" i="37"/>
  <c r="L39" i="37"/>
  <c r="T38" i="37"/>
  <c r="N38" i="37"/>
  <c r="L38" i="37"/>
  <c r="T37" i="37"/>
  <c r="N37" i="37"/>
  <c r="L37" i="37"/>
  <c r="T36" i="37"/>
  <c r="N36" i="37"/>
  <c r="L36" i="37"/>
  <c r="T35" i="37"/>
  <c r="N35" i="37"/>
  <c r="L35" i="37"/>
  <c r="T34" i="37"/>
  <c r="N34" i="37"/>
  <c r="L34" i="37"/>
  <c r="T33" i="37"/>
  <c r="N33" i="37"/>
  <c r="L33" i="37"/>
  <c r="T32" i="37"/>
  <c r="N32" i="37"/>
  <c r="L32" i="37"/>
  <c r="T31" i="37"/>
  <c r="N31" i="37"/>
  <c r="L31" i="37"/>
  <c r="T30" i="37"/>
  <c r="N30" i="37"/>
  <c r="L30" i="37"/>
  <c r="T29" i="37"/>
  <c r="N29" i="37"/>
  <c r="L29" i="37"/>
  <c r="T28" i="37"/>
  <c r="N28" i="37"/>
  <c r="L28" i="37"/>
  <c r="T27" i="37"/>
  <c r="N27" i="37"/>
  <c r="L27" i="37"/>
  <c r="T26" i="37"/>
  <c r="N26" i="37"/>
  <c r="L26" i="37"/>
  <c r="T25" i="37"/>
  <c r="N25" i="37"/>
  <c r="L25" i="37"/>
  <c r="T24" i="37"/>
  <c r="N24" i="37"/>
  <c r="L24" i="37"/>
  <c r="T23" i="37"/>
  <c r="N23" i="37"/>
  <c r="L23" i="37"/>
  <c r="T22" i="37"/>
  <c r="N22" i="37"/>
  <c r="L22" i="37"/>
  <c r="T21" i="37"/>
  <c r="N21" i="37"/>
  <c r="L21" i="37"/>
  <c r="T20" i="37"/>
  <c r="N20" i="37"/>
  <c r="L20" i="37"/>
  <c r="T19" i="37"/>
  <c r="N19" i="37"/>
  <c r="L19" i="37"/>
  <c r="T18" i="37"/>
  <c r="N18" i="37"/>
  <c r="L18" i="37"/>
  <c r="T17" i="37"/>
  <c r="N17" i="37"/>
  <c r="L17" i="37"/>
  <c r="T16" i="37"/>
  <c r="N16" i="37"/>
  <c r="L16" i="37"/>
  <c r="T15" i="37"/>
  <c r="N15" i="37"/>
  <c r="L15" i="37"/>
  <c r="T14" i="37"/>
  <c r="N14" i="37"/>
  <c r="L14" i="37"/>
  <c r="T13" i="37"/>
  <c r="N13" i="37"/>
  <c r="L13" i="37"/>
  <c r="T12" i="37"/>
  <c r="N12" i="37"/>
  <c r="L12" i="37"/>
  <c r="T11" i="37"/>
  <c r="N11" i="37"/>
  <c r="L11" i="37"/>
  <c r="T10" i="37"/>
  <c r="N10" i="37"/>
  <c r="L10" i="37"/>
  <c r="T9" i="37"/>
  <c r="N9" i="37"/>
  <c r="L9" i="37"/>
  <c r="T8" i="37"/>
  <c r="N8" i="37"/>
  <c r="L8" i="37"/>
  <c r="T7" i="37"/>
  <c r="N7" i="37"/>
  <c r="L7" i="37"/>
  <c r="T6" i="37"/>
  <c r="N6" i="37"/>
  <c r="L6" i="37"/>
  <c r="T5" i="37"/>
  <c r="N5" i="37"/>
  <c r="L5" i="37"/>
  <c r="T4" i="37"/>
  <c r="N4" i="37"/>
  <c r="L4" i="37"/>
  <c r="J4" i="37"/>
  <c r="M3" i="37"/>
  <c r="D169" i="33"/>
  <c r="C169" i="33"/>
  <c r="J5" i="37" l="1"/>
  <c r="J9" i="37"/>
  <c r="U6" i="38"/>
  <c r="U7" i="38"/>
  <c r="U14" i="38"/>
  <c r="U50" i="38"/>
  <c r="U12" i="38"/>
  <c r="U10" i="38"/>
  <c r="U26" i="38"/>
  <c r="U31" i="38"/>
  <c r="U20" i="38"/>
  <c r="N85" i="38"/>
  <c r="F18" i="42" s="1"/>
  <c r="E18" i="42" s="1"/>
  <c r="C137" i="42" s="1"/>
  <c r="N85" i="37"/>
  <c r="F18" i="41" s="1"/>
  <c r="E18" i="41" s="1"/>
  <c r="C137" i="41" s="1"/>
  <c r="E9" i="42"/>
  <c r="C125" i="42" s="1"/>
  <c r="E25" i="27"/>
  <c r="D19" i="7"/>
  <c r="F7" i="41"/>
  <c r="E7" i="41" s="1"/>
  <c r="C123" i="41" s="1"/>
  <c r="C172" i="41"/>
  <c r="F9" i="41"/>
  <c r="C182" i="41"/>
  <c r="C170" i="41"/>
  <c r="C174" i="41"/>
  <c r="C183" i="41"/>
  <c r="C181" i="41"/>
  <c r="U81" i="38"/>
  <c r="U77" i="38"/>
  <c r="U73" i="38"/>
  <c r="U69" i="38"/>
  <c r="U65" i="38"/>
  <c r="U83" i="38"/>
  <c r="U79" i="38"/>
  <c r="U75" i="38"/>
  <c r="U71" i="38"/>
  <c r="U67" i="38"/>
  <c r="U63" i="38"/>
  <c r="U84" i="38"/>
  <c r="U80" i="38"/>
  <c r="U82" i="38"/>
  <c r="U74" i="38"/>
  <c r="U66" i="38"/>
  <c r="U61" i="38"/>
  <c r="U57" i="38"/>
  <c r="U53" i="38"/>
  <c r="U76" i="38"/>
  <c r="U68" i="38"/>
  <c r="U62" i="38"/>
  <c r="U56" i="38"/>
  <c r="U51" i="38"/>
  <c r="U49" i="38"/>
  <c r="U45" i="38"/>
  <c r="U41" i="38"/>
  <c r="U37" i="38"/>
  <c r="U33" i="38"/>
  <c r="U29" i="38"/>
  <c r="U25" i="38"/>
  <c r="U21" i="38"/>
  <c r="U72" i="38"/>
  <c r="U58" i="38"/>
  <c r="U52" i="38"/>
  <c r="U46" i="38"/>
  <c r="U78" i="38"/>
  <c r="U59" i="38"/>
  <c r="U55" i="38"/>
  <c r="U43" i="38"/>
  <c r="U40" i="38"/>
  <c r="U35" i="38"/>
  <c r="U30" i="38"/>
  <c r="U24" i="38"/>
  <c r="U19" i="38"/>
  <c r="U15" i="38"/>
  <c r="U11" i="38"/>
  <c r="U5" i="38"/>
  <c r="U4" i="38"/>
  <c r="U70" i="38"/>
  <c r="U47" i="38"/>
  <c r="U38" i="38"/>
  <c r="U32" i="38"/>
  <c r="U27" i="38"/>
  <c r="U22" i="38"/>
  <c r="U17" i="38"/>
  <c r="U13" i="38"/>
  <c r="U9" i="38"/>
  <c r="U8" i="38"/>
  <c r="U60" i="38"/>
  <c r="U48" i="38"/>
  <c r="U39" i="38"/>
  <c r="U34" i="38"/>
  <c r="U28" i="38"/>
  <c r="U23" i="38"/>
  <c r="J5" i="38"/>
  <c r="U16" i="38"/>
  <c r="U18" i="38"/>
  <c r="U42" i="38"/>
  <c r="U54" i="38"/>
  <c r="U36" i="38"/>
  <c r="U44" i="38"/>
  <c r="U81" i="37"/>
  <c r="U77" i="37"/>
  <c r="U73" i="37"/>
  <c r="U69" i="37"/>
  <c r="U65" i="37"/>
  <c r="U82" i="37"/>
  <c r="U78" i="37"/>
  <c r="U74" i="37"/>
  <c r="U70" i="37"/>
  <c r="U66" i="37"/>
  <c r="U83" i="37"/>
  <c r="U79" i="37"/>
  <c r="U75" i="37"/>
  <c r="U71" i="37"/>
  <c r="U67" i="37"/>
  <c r="U63" i="37"/>
  <c r="U61" i="37"/>
  <c r="U57" i="37"/>
  <c r="U53" i="37"/>
  <c r="U49" i="37"/>
  <c r="U84" i="37"/>
  <c r="U58" i="37"/>
  <c r="U80" i="37"/>
  <c r="U76" i="37"/>
  <c r="U72" i="37"/>
  <c r="U68" i="37"/>
  <c r="U64" i="37"/>
  <c r="U62" i="37"/>
  <c r="U59" i="37"/>
  <c r="U55" i="37"/>
  <c r="U51" i="37"/>
  <c r="U47" i="37"/>
  <c r="U60" i="37"/>
  <c r="U54" i="37"/>
  <c r="U46" i="37"/>
  <c r="U42" i="37"/>
  <c r="U38" i="37"/>
  <c r="U34" i="37"/>
  <c r="U56" i="37"/>
  <c r="U48" i="37"/>
  <c r="U43" i="37"/>
  <c r="U39" i="37"/>
  <c r="U35" i="37"/>
  <c r="U31" i="37"/>
  <c r="U50" i="37"/>
  <c r="U44" i="37"/>
  <c r="U40" i="37"/>
  <c r="U36" i="37"/>
  <c r="U32" i="37"/>
  <c r="U10" i="37"/>
  <c r="U22" i="37"/>
  <c r="U8" i="37"/>
  <c r="U9" i="37"/>
  <c r="U13" i="37"/>
  <c r="U17" i="37"/>
  <c r="U21" i="37"/>
  <c r="U25" i="37"/>
  <c r="U29" i="37"/>
  <c r="U45" i="37"/>
  <c r="U6" i="37"/>
  <c r="J7" i="37"/>
  <c r="U7" i="37"/>
  <c r="U12" i="37"/>
  <c r="U16" i="37"/>
  <c r="U20" i="37"/>
  <c r="U24" i="37"/>
  <c r="U28" i="37"/>
  <c r="U30" i="37"/>
  <c r="U33" i="37"/>
  <c r="U52" i="37"/>
  <c r="U14" i="37"/>
  <c r="U18" i="37"/>
  <c r="U26" i="37"/>
  <c r="U4" i="37"/>
  <c r="U5" i="37"/>
  <c r="U11" i="37"/>
  <c r="U15" i="37"/>
  <c r="U19" i="37"/>
  <c r="U23" i="37"/>
  <c r="U27" i="37"/>
  <c r="U37" i="37"/>
  <c r="U41" i="37"/>
  <c r="O4" i="38" l="1"/>
  <c r="J7" i="38"/>
  <c r="O4" i="37"/>
  <c r="E9" i="41"/>
  <c r="C125" i="41" s="1"/>
  <c r="E20" i="27"/>
  <c r="B201" i="33" l="1"/>
  <c r="T84" i="36"/>
  <c r="N84" i="36"/>
  <c r="L84" i="36"/>
  <c r="T83" i="36"/>
  <c r="N83" i="36"/>
  <c r="L83" i="36"/>
  <c r="T82" i="36"/>
  <c r="N82" i="36"/>
  <c r="L82" i="36"/>
  <c r="T81" i="36"/>
  <c r="N81" i="36"/>
  <c r="L81" i="36"/>
  <c r="T80" i="36"/>
  <c r="N80" i="36"/>
  <c r="L80" i="36"/>
  <c r="T79" i="36"/>
  <c r="N79" i="36"/>
  <c r="L79" i="36"/>
  <c r="T78" i="36"/>
  <c r="N78" i="36"/>
  <c r="L78" i="36"/>
  <c r="T77" i="36"/>
  <c r="N77" i="36"/>
  <c r="L77" i="36"/>
  <c r="T76" i="36"/>
  <c r="N76" i="36"/>
  <c r="L76" i="36"/>
  <c r="T75" i="36"/>
  <c r="N75" i="36"/>
  <c r="L75" i="36"/>
  <c r="T74" i="36"/>
  <c r="N74" i="36"/>
  <c r="L74" i="36"/>
  <c r="T73" i="36"/>
  <c r="N73" i="36"/>
  <c r="L73" i="36"/>
  <c r="T72" i="36"/>
  <c r="N72" i="36"/>
  <c r="L72" i="36"/>
  <c r="T71" i="36"/>
  <c r="N71" i="36"/>
  <c r="L71" i="36"/>
  <c r="T70" i="36"/>
  <c r="N70" i="36"/>
  <c r="L70" i="36"/>
  <c r="T69" i="36"/>
  <c r="N69" i="36"/>
  <c r="L69" i="36"/>
  <c r="T68" i="36"/>
  <c r="N68" i="36"/>
  <c r="L68" i="36"/>
  <c r="T67" i="36"/>
  <c r="N67" i="36"/>
  <c r="L67" i="36"/>
  <c r="T66" i="36"/>
  <c r="N66" i="36"/>
  <c r="L66" i="36"/>
  <c r="T65" i="36"/>
  <c r="N65" i="36"/>
  <c r="L65" i="36"/>
  <c r="T64" i="36"/>
  <c r="N64" i="36"/>
  <c r="L64" i="36"/>
  <c r="T63" i="36"/>
  <c r="N63" i="36"/>
  <c r="L63" i="36"/>
  <c r="T62" i="36"/>
  <c r="N62" i="36"/>
  <c r="L62" i="36"/>
  <c r="T61" i="36"/>
  <c r="N61" i="36"/>
  <c r="L61" i="36"/>
  <c r="T60" i="36"/>
  <c r="N60" i="36"/>
  <c r="L60" i="36"/>
  <c r="T59" i="36"/>
  <c r="N59" i="36"/>
  <c r="L59" i="36"/>
  <c r="T58" i="36"/>
  <c r="N58" i="36"/>
  <c r="L58" i="36"/>
  <c r="T57" i="36"/>
  <c r="N57" i="36"/>
  <c r="L57" i="36"/>
  <c r="T56" i="36"/>
  <c r="N56" i="36"/>
  <c r="L56" i="36"/>
  <c r="T55" i="36"/>
  <c r="N55" i="36"/>
  <c r="L55" i="36"/>
  <c r="T54" i="36"/>
  <c r="N54" i="36"/>
  <c r="L54" i="36"/>
  <c r="T53" i="36"/>
  <c r="N53" i="36"/>
  <c r="L53" i="36"/>
  <c r="T52" i="36"/>
  <c r="N52" i="36"/>
  <c r="L52" i="36"/>
  <c r="T51" i="36"/>
  <c r="N51" i="36"/>
  <c r="L51" i="36"/>
  <c r="T50" i="36"/>
  <c r="N50" i="36"/>
  <c r="L50" i="36"/>
  <c r="T49" i="36"/>
  <c r="N49" i="36"/>
  <c r="L49" i="36"/>
  <c r="T48" i="36"/>
  <c r="N48" i="36"/>
  <c r="L48" i="36"/>
  <c r="T47" i="36"/>
  <c r="N47" i="36"/>
  <c r="L47" i="36"/>
  <c r="T46" i="36"/>
  <c r="N46" i="36"/>
  <c r="L46" i="36"/>
  <c r="T45" i="36"/>
  <c r="N45" i="36"/>
  <c r="L45" i="36"/>
  <c r="T44" i="36"/>
  <c r="N44" i="36"/>
  <c r="L44" i="36"/>
  <c r="T43" i="36"/>
  <c r="N43" i="36"/>
  <c r="L43" i="36"/>
  <c r="T42" i="36"/>
  <c r="N42" i="36"/>
  <c r="L42" i="36"/>
  <c r="T41" i="36"/>
  <c r="N41" i="36"/>
  <c r="L41" i="36"/>
  <c r="T40" i="36"/>
  <c r="N40" i="36"/>
  <c r="L40" i="36"/>
  <c r="T39" i="36"/>
  <c r="N39" i="36"/>
  <c r="L39" i="36"/>
  <c r="T38" i="36"/>
  <c r="N38" i="36"/>
  <c r="L38" i="36"/>
  <c r="T37" i="36"/>
  <c r="N37" i="36"/>
  <c r="L37" i="36"/>
  <c r="T36" i="36"/>
  <c r="N36" i="36"/>
  <c r="L36" i="36"/>
  <c r="T35" i="36"/>
  <c r="N35" i="36"/>
  <c r="L35" i="36"/>
  <c r="T34" i="36"/>
  <c r="N34" i="36"/>
  <c r="L34" i="36"/>
  <c r="T33" i="36"/>
  <c r="N33" i="36"/>
  <c r="L33" i="36"/>
  <c r="T32" i="36"/>
  <c r="N32" i="36"/>
  <c r="L32" i="36"/>
  <c r="T31" i="36"/>
  <c r="N31" i="36"/>
  <c r="L31" i="36"/>
  <c r="T30" i="36"/>
  <c r="N30" i="36"/>
  <c r="L30" i="36"/>
  <c r="T29" i="36"/>
  <c r="N29" i="36"/>
  <c r="L29" i="36"/>
  <c r="T28" i="36"/>
  <c r="N28" i="36"/>
  <c r="L28" i="36"/>
  <c r="T27" i="36"/>
  <c r="N27" i="36"/>
  <c r="L27" i="36"/>
  <c r="T26" i="36"/>
  <c r="N26" i="36"/>
  <c r="L26" i="36"/>
  <c r="T25" i="36"/>
  <c r="N25" i="36"/>
  <c r="L25" i="36"/>
  <c r="T24" i="36"/>
  <c r="N24" i="36"/>
  <c r="L24" i="36"/>
  <c r="T23" i="36"/>
  <c r="N23" i="36"/>
  <c r="L23" i="36"/>
  <c r="T22" i="36"/>
  <c r="N22" i="36"/>
  <c r="L22" i="36"/>
  <c r="T21" i="36"/>
  <c r="N21" i="36"/>
  <c r="L21" i="36"/>
  <c r="T20" i="36"/>
  <c r="N20" i="36"/>
  <c r="L20" i="36"/>
  <c r="T19" i="36"/>
  <c r="N19" i="36"/>
  <c r="L19" i="36"/>
  <c r="T18" i="36"/>
  <c r="N18" i="36"/>
  <c r="L18" i="36"/>
  <c r="T17" i="36"/>
  <c r="N17" i="36"/>
  <c r="L17" i="36"/>
  <c r="T16" i="36"/>
  <c r="N16" i="36"/>
  <c r="L16" i="36"/>
  <c r="T15" i="36"/>
  <c r="N15" i="36"/>
  <c r="L15" i="36"/>
  <c r="T14" i="36"/>
  <c r="N14" i="36"/>
  <c r="L14" i="36"/>
  <c r="T13" i="36"/>
  <c r="N13" i="36"/>
  <c r="L13" i="36"/>
  <c r="T12" i="36"/>
  <c r="N12" i="36"/>
  <c r="L12" i="36"/>
  <c r="T11" i="36"/>
  <c r="N11" i="36"/>
  <c r="L11" i="36"/>
  <c r="T10" i="36"/>
  <c r="N10" i="36"/>
  <c r="L10" i="36"/>
  <c r="T9" i="36"/>
  <c r="N9" i="36"/>
  <c r="L9" i="36"/>
  <c r="T8" i="36"/>
  <c r="N8" i="36"/>
  <c r="L8" i="36"/>
  <c r="T7" i="36"/>
  <c r="N7" i="36"/>
  <c r="L7" i="36"/>
  <c r="T6" i="36"/>
  <c r="N6" i="36"/>
  <c r="L6" i="36"/>
  <c r="T5" i="36"/>
  <c r="N5" i="36"/>
  <c r="L5" i="36"/>
  <c r="T4" i="36"/>
  <c r="N4" i="36"/>
  <c r="L4" i="36"/>
  <c r="J4" i="36"/>
  <c r="J9" i="36" s="1"/>
  <c r="M3" i="36"/>
  <c r="U4" i="36" s="1"/>
  <c r="D25" i="33"/>
  <c r="D23" i="33"/>
  <c r="D22" i="33"/>
  <c r="D21" i="33"/>
  <c r="D20" i="33"/>
  <c r="D18" i="33"/>
  <c r="C173" i="33" s="1"/>
  <c r="D16" i="33"/>
  <c r="D15" i="33"/>
  <c r="D14" i="33"/>
  <c r="C181" i="33" s="1"/>
  <c r="D12" i="33"/>
  <c r="D11" i="33"/>
  <c r="B200" i="33"/>
  <c r="D9" i="33"/>
  <c r="D8" i="33"/>
  <c r="F8" i="33" s="1"/>
  <c r="D7" i="33"/>
  <c r="D6" i="33"/>
  <c r="B204" i="33"/>
  <c r="B203" i="33"/>
  <c r="B202" i="33"/>
  <c r="B199" i="33"/>
  <c r="B198" i="33"/>
  <c r="B151" i="33"/>
  <c r="B61" i="33" s="1"/>
  <c r="T84" i="32"/>
  <c r="N84" i="32"/>
  <c r="L84" i="32"/>
  <c r="T83" i="32"/>
  <c r="N83" i="32"/>
  <c r="L83" i="32"/>
  <c r="T82" i="32"/>
  <c r="N82" i="32"/>
  <c r="L82" i="32"/>
  <c r="T81" i="32"/>
  <c r="N81" i="32"/>
  <c r="L81" i="32"/>
  <c r="T80" i="32"/>
  <c r="N80" i="32"/>
  <c r="L80" i="32"/>
  <c r="T79" i="32"/>
  <c r="N79" i="32"/>
  <c r="L79" i="32"/>
  <c r="T78" i="32"/>
  <c r="N78" i="32"/>
  <c r="L78" i="32"/>
  <c r="T77" i="32"/>
  <c r="N77" i="32"/>
  <c r="L77" i="32"/>
  <c r="T76" i="32"/>
  <c r="N76" i="32"/>
  <c r="L76" i="32"/>
  <c r="T75" i="32"/>
  <c r="N75" i="32"/>
  <c r="L75" i="32"/>
  <c r="T74" i="32"/>
  <c r="N74" i="32"/>
  <c r="L74" i="32"/>
  <c r="T73" i="32"/>
  <c r="N73" i="32"/>
  <c r="L73" i="32"/>
  <c r="T72" i="32"/>
  <c r="N72" i="32"/>
  <c r="L72" i="32"/>
  <c r="T71" i="32"/>
  <c r="N71" i="32"/>
  <c r="L71" i="32"/>
  <c r="T70" i="32"/>
  <c r="N70" i="32"/>
  <c r="L70" i="32"/>
  <c r="T69" i="32"/>
  <c r="N69" i="32"/>
  <c r="L69" i="32"/>
  <c r="T68" i="32"/>
  <c r="N68" i="32"/>
  <c r="L68" i="32"/>
  <c r="T67" i="32"/>
  <c r="N67" i="32"/>
  <c r="L67" i="32"/>
  <c r="T66" i="32"/>
  <c r="N66" i="32"/>
  <c r="L66" i="32"/>
  <c r="T65" i="32"/>
  <c r="N65" i="32"/>
  <c r="L65" i="32"/>
  <c r="T64" i="32"/>
  <c r="N64" i="32"/>
  <c r="L64" i="32"/>
  <c r="T63" i="32"/>
  <c r="N63" i="32"/>
  <c r="L63" i="32"/>
  <c r="T62" i="32"/>
  <c r="N62" i="32"/>
  <c r="L62" i="32"/>
  <c r="T61" i="32"/>
  <c r="N61" i="32"/>
  <c r="L61" i="32"/>
  <c r="T60" i="32"/>
  <c r="N60" i="32"/>
  <c r="L60" i="32"/>
  <c r="T59" i="32"/>
  <c r="N59" i="32"/>
  <c r="L59" i="32"/>
  <c r="T58" i="32"/>
  <c r="N58" i="32"/>
  <c r="L58" i="32"/>
  <c r="T57" i="32"/>
  <c r="N57" i="32"/>
  <c r="L57" i="32"/>
  <c r="T56" i="32"/>
  <c r="N56" i="32"/>
  <c r="L56" i="32"/>
  <c r="T55" i="32"/>
  <c r="N55" i="32"/>
  <c r="L55" i="32"/>
  <c r="T54" i="32"/>
  <c r="N54" i="32"/>
  <c r="L54" i="32"/>
  <c r="T53" i="32"/>
  <c r="N53" i="32"/>
  <c r="L53" i="32"/>
  <c r="T52" i="32"/>
  <c r="N52" i="32"/>
  <c r="L52" i="32"/>
  <c r="T51" i="32"/>
  <c r="N51" i="32"/>
  <c r="L51" i="32"/>
  <c r="T50" i="32"/>
  <c r="N50" i="32"/>
  <c r="L50" i="32"/>
  <c r="T49" i="32"/>
  <c r="N49" i="32"/>
  <c r="L49" i="32"/>
  <c r="T48" i="32"/>
  <c r="N48" i="32"/>
  <c r="L48" i="32"/>
  <c r="T47" i="32"/>
  <c r="N47" i="32"/>
  <c r="L47" i="32"/>
  <c r="T46" i="32"/>
  <c r="N46" i="32"/>
  <c r="L46" i="32"/>
  <c r="T45" i="32"/>
  <c r="N45" i="32"/>
  <c r="L45" i="32"/>
  <c r="T44" i="32"/>
  <c r="N44" i="32"/>
  <c r="L44" i="32"/>
  <c r="T43" i="32"/>
  <c r="N43" i="32"/>
  <c r="L43" i="32"/>
  <c r="T42" i="32"/>
  <c r="N42" i="32"/>
  <c r="L42" i="32"/>
  <c r="T41" i="32"/>
  <c r="N41" i="32"/>
  <c r="L41" i="32"/>
  <c r="T40" i="32"/>
  <c r="N40" i="32"/>
  <c r="L40" i="32"/>
  <c r="T39" i="32"/>
  <c r="N39" i="32"/>
  <c r="L39" i="32"/>
  <c r="T38" i="32"/>
  <c r="N38" i="32"/>
  <c r="L38" i="32"/>
  <c r="T37" i="32"/>
  <c r="N37" i="32"/>
  <c r="L37" i="32"/>
  <c r="T36" i="32"/>
  <c r="N36" i="32"/>
  <c r="L36" i="32"/>
  <c r="T35" i="32"/>
  <c r="N35" i="32"/>
  <c r="L35" i="32"/>
  <c r="T34" i="32"/>
  <c r="N34" i="32"/>
  <c r="L34" i="32"/>
  <c r="T33" i="32"/>
  <c r="N33" i="32"/>
  <c r="L33" i="32"/>
  <c r="T32" i="32"/>
  <c r="N32" i="32"/>
  <c r="L32" i="32"/>
  <c r="T31" i="32"/>
  <c r="N31" i="32"/>
  <c r="L31" i="32"/>
  <c r="T30" i="32"/>
  <c r="N30" i="32"/>
  <c r="L30" i="32"/>
  <c r="T29" i="32"/>
  <c r="N29" i="32"/>
  <c r="L29" i="32"/>
  <c r="T28" i="32"/>
  <c r="N28" i="32"/>
  <c r="L28" i="32"/>
  <c r="T27" i="32"/>
  <c r="N27" i="32"/>
  <c r="L27" i="32"/>
  <c r="T26" i="32"/>
  <c r="N26" i="32"/>
  <c r="L26" i="32"/>
  <c r="T25" i="32"/>
  <c r="N25" i="32"/>
  <c r="L25" i="32"/>
  <c r="T24" i="32"/>
  <c r="N24" i="32"/>
  <c r="L24" i="32"/>
  <c r="T23" i="32"/>
  <c r="N23" i="32"/>
  <c r="L23" i="32"/>
  <c r="T22" i="32"/>
  <c r="N22" i="32"/>
  <c r="L22" i="32"/>
  <c r="T21" i="32"/>
  <c r="N21" i="32"/>
  <c r="L21" i="32"/>
  <c r="T20" i="32"/>
  <c r="N20" i="32"/>
  <c r="L20" i="32"/>
  <c r="T19" i="32"/>
  <c r="N19" i="32"/>
  <c r="L19" i="32"/>
  <c r="T18" i="32"/>
  <c r="N18" i="32"/>
  <c r="L18" i="32"/>
  <c r="T17" i="32"/>
  <c r="N17" i="32"/>
  <c r="L17" i="32"/>
  <c r="T16" i="32"/>
  <c r="N16" i="32"/>
  <c r="L16" i="32"/>
  <c r="T15" i="32"/>
  <c r="N15" i="32"/>
  <c r="L15" i="32"/>
  <c r="T14" i="32"/>
  <c r="N14" i="32"/>
  <c r="L14" i="32"/>
  <c r="T13" i="32"/>
  <c r="N13" i="32"/>
  <c r="L13" i="32"/>
  <c r="T12" i="32"/>
  <c r="N12" i="32"/>
  <c r="L12" i="32"/>
  <c r="T11" i="32"/>
  <c r="N11" i="32"/>
  <c r="L11" i="32"/>
  <c r="T10" i="32"/>
  <c r="N10" i="32"/>
  <c r="L10" i="32"/>
  <c r="T9" i="32"/>
  <c r="N9" i="32"/>
  <c r="L9" i="32"/>
  <c r="T8" i="32"/>
  <c r="N8" i="32"/>
  <c r="L8" i="32"/>
  <c r="T7" i="32"/>
  <c r="N7" i="32"/>
  <c r="L7" i="32"/>
  <c r="T6" i="32"/>
  <c r="N6" i="32"/>
  <c r="L6" i="32"/>
  <c r="T5" i="32"/>
  <c r="N5" i="32"/>
  <c r="L5" i="32"/>
  <c r="T4" i="32"/>
  <c r="N4" i="32"/>
  <c r="L4" i="32"/>
  <c r="J4" i="32"/>
  <c r="J9" i="32" s="1"/>
  <c r="M3" i="32"/>
  <c r="U28" i="32" s="1"/>
  <c r="T84" i="31"/>
  <c r="N84" i="31"/>
  <c r="L84" i="31"/>
  <c r="T83" i="31"/>
  <c r="N83" i="31"/>
  <c r="L83" i="31"/>
  <c r="T82" i="31"/>
  <c r="N82" i="31"/>
  <c r="L82" i="31"/>
  <c r="T81" i="31"/>
  <c r="N81" i="31"/>
  <c r="L81" i="31"/>
  <c r="T80" i="31"/>
  <c r="N80" i="31"/>
  <c r="L80" i="31"/>
  <c r="T79" i="31"/>
  <c r="N79" i="31"/>
  <c r="L79" i="31"/>
  <c r="T78" i="31"/>
  <c r="N78" i="31"/>
  <c r="L78" i="31"/>
  <c r="T77" i="31"/>
  <c r="N77" i="31"/>
  <c r="L77" i="31"/>
  <c r="T76" i="31"/>
  <c r="N76" i="31"/>
  <c r="L76" i="31"/>
  <c r="T75" i="31"/>
  <c r="N75" i="31"/>
  <c r="L75" i="31"/>
  <c r="T74" i="31"/>
  <c r="N74" i="31"/>
  <c r="L74" i="31"/>
  <c r="T73" i="31"/>
  <c r="N73" i="31"/>
  <c r="L73" i="31"/>
  <c r="T72" i="31"/>
  <c r="N72" i="31"/>
  <c r="L72" i="31"/>
  <c r="T71" i="31"/>
  <c r="N71" i="31"/>
  <c r="L71" i="31"/>
  <c r="T70" i="31"/>
  <c r="N70" i="31"/>
  <c r="L70" i="31"/>
  <c r="T69" i="31"/>
  <c r="N69" i="31"/>
  <c r="L69" i="31"/>
  <c r="T68" i="31"/>
  <c r="N68" i="31"/>
  <c r="L68" i="31"/>
  <c r="T67" i="31"/>
  <c r="N67" i="31"/>
  <c r="L67" i="31"/>
  <c r="T66" i="31"/>
  <c r="N66" i="31"/>
  <c r="L66" i="31"/>
  <c r="T65" i="31"/>
  <c r="N65" i="31"/>
  <c r="L65" i="31"/>
  <c r="T64" i="31"/>
  <c r="N64" i="31"/>
  <c r="L64" i="31"/>
  <c r="T63" i="31"/>
  <c r="N63" i="31"/>
  <c r="L63" i="31"/>
  <c r="T62" i="31"/>
  <c r="N62" i="31"/>
  <c r="L62" i="31"/>
  <c r="T61" i="31"/>
  <c r="N61" i="31"/>
  <c r="L61" i="31"/>
  <c r="T60" i="31"/>
  <c r="N60" i="31"/>
  <c r="L60" i="31"/>
  <c r="T59" i="31"/>
  <c r="N59" i="31"/>
  <c r="L59" i="31"/>
  <c r="T58" i="31"/>
  <c r="N58" i="31"/>
  <c r="L58" i="31"/>
  <c r="T57" i="31"/>
  <c r="N57" i="31"/>
  <c r="L57" i="31"/>
  <c r="T56" i="31"/>
  <c r="N56" i="31"/>
  <c r="L56" i="31"/>
  <c r="T55" i="31"/>
  <c r="N55" i="31"/>
  <c r="L55" i="31"/>
  <c r="T54" i="31"/>
  <c r="N54" i="31"/>
  <c r="L54" i="31"/>
  <c r="T53" i="31"/>
  <c r="N53" i="31"/>
  <c r="L53" i="31"/>
  <c r="T52" i="31"/>
  <c r="N52" i="31"/>
  <c r="L52" i="31"/>
  <c r="T51" i="31"/>
  <c r="N51" i="31"/>
  <c r="L51" i="31"/>
  <c r="T50" i="31"/>
  <c r="N50" i="31"/>
  <c r="L50" i="31"/>
  <c r="T49" i="31"/>
  <c r="N49" i="31"/>
  <c r="L49" i="31"/>
  <c r="T48" i="31"/>
  <c r="N48" i="31"/>
  <c r="L48" i="31"/>
  <c r="T47" i="31"/>
  <c r="N47" i="31"/>
  <c r="L47" i="31"/>
  <c r="T46" i="31"/>
  <c r="N46" i="31"/>
  <c r="L46" i="31"/>
  <c r="T45" i="31"/>
  <c r="N45" i="31"/>
  <c r="L45" i="31"/>
  <c r="T44" i="31"/>
  <c r="N44" i="31"/>
  <c r="L44" i="31"/>
  <c r="T43" i="31"/>
  <c r="N43" i="31"/>
  <c r="L43" i="31"/>
  <c r="T42" i="31"/>
  <c r="N42" i="31"/>
  <c r="L42" i="31"/>
  <c r="T41" i="31"/>
  <c r="N41" i="31"/>
  <c r="L41" i="31"/>
  <c r="T40" i="31"/>
  <c r="N40" i="31"/>
  <c r="L40" i="31"/>
  <c r="T39" i="31"/>
  <c r="N39" i="31"/>
  <c r="L39" i="31"/>
  <c r="T38" i="31"/>
  <c r="N38" i="31"/>
  <c r="L38" i="31"/>
  <c r="T37" i="31"/>
  <c r="N37" i="31"/>
  <c r="L37" i="31"/>
  <c r="T36" i="31"/>
  <c r="N36" i="31"/>
  <c r="L36" i="31"/>
  <c r="T35" i="31"/>
  <c r="N35" i="31"/>
  <c r="L35" i="31"/>
  <c r="T34" i="31"/>
  <c r="N34" i="31"/>
  <c r="L34" i="31"/>
  <c r="T33" i="31"/>
  <c r="N33" i="31"/>
  <c r="L33" i="31"/>
  <c r="T32" i="31"/>
  <c r="N32" i="31"/>
  <c r="L32" i="31"/>
  <c r="T31" i="31"/>
  <c r="N31" i="31"/>
  <c r="L31" i="31"/>
  <c r="T30" i="31"/>
  <c r="N30" i="31"/>
  <c r="L30" i="31"/>
  <c r="T29" i="31"/>
  <c r="N29" i="31"/>
  <c r="L29" i="31"/>
  <c r="T28" i="31"/>
  <c r="N28" i="31"/>
  <c r="L28" i="31"/>
  <c r="T27" i="31"/>
  <c r="N27" i="31"/>
  <c r="L27" i="31"/>
  <c r="T26" i="31"/>
  <c r="N26" i="31"/>
  <c r="L26" i="31"/>
  <c r="T25" i="31"/>
  <c r="N25" i="31"/>
  <c r="L25" i="31"/>
  <c r="T24" i="31"/>
  <c r="N24" i="31"/>
  <c r="L24" i="31"/>
  <c r="T23" i="31"/>
  <c r="N23" i="31"/>
  <c r="L23" i="31"/>
  <c r="T22" i="31"/>
  <c r="N22" i="31"/>
  <c r="L22" i="31"/>
  <c r="T21" i="31"/>
  <c r="N21" i="31"/>
  <c r="L21" i="31"/>
  <c r="T20" i="31"/>
  <c r="N20" i="31"/>
  <c r="L20" i="31"/>
  <c r="T19" i="31"/>
  <c r="N19" i="31"/>
  <c r="L19" i="31"/>
  <c r="T18" i="31"/>
  <c r="N18" i="31"/>
  <c r="L18" i="31"/>
  <c r="T17" i="31"/>
  <c r="N17" i="31"/>
  <c r="L17" i="31"/>
  <c r="T16" i="31"/>
  <c r="N16" i="31"/>
  <c r="L16" i="31"/>
  <c r="T15" i="31"/>
  <c r="N15" i="31"/>
  <c r="L15" i="31"/>
  <c r="T14" i="31"/>
  <c r="N14" i="31"/>
  <c r="L14" i="31"/>
  <c r="T13" i="31"/>
  <c r="N13" i="31"/>
  <c r="L13" i="31"/>
  <c r="T12" i="31"/>
  <c r="N12" i="31"/>
  <c r="L12" i="31"/>
  <c r="T11" i="31"/>
  <c r="N11" i="31"/>
  <c r="L11" i="31"/>
  <c r="T10" i="31"/>
  <c r="N10" i="31"/>
  <c r="L10" i="31"/>
  <c r="T9" i="31"/>
  <c r="N9" i="31"/>
  <c r="L9" i="31"/>
  <c r="T8" i="31"/>
  <c r="N8" i="31"/>
  <c r="L8" i="31"/>
  <c r="T7" i="31"/>
  <c r="N7" i="31"/>
  <c r="L7" i="31"/>
  <c r="T6" i="31"/>
  <c r="N6" i="31"/>
  <c r="L6" i="31"/>
  <c r="T5" i="31"/>
  <c r="N5" i="31"/>
  <c r="L5" i="31"/>
  <c r="T4" i="31"/>
  <c r="N4" i="31"/>
  <c r="L4" i="31"/>
  <c r="J4" i="31"/>
  <c r="M3" i="31"/>
  <c r="U20" i="31" s="1"/>
  <c r="T84" i="30"/>
  <c r="L84" i="30"/>
  <c r="T83" i="30"/>
  <c r="L83" i="30"/>
  <c r="T82" i="30"/>
  <c r="L82" i="30"/>
  <c r="T81" i="30"/>
  <c r="L81" i="30"/>
  <c r="T80" i="30"/>
  <c r="L80" i="30"/>
  <c r="T79" i="30"/>
  <c r="L79" i="30"/>
  <c r="T78" i="30"/>
  <c r="L78" i="30"/>
  <c r="T77" i="30"/>
  <c r="L77" i="30"/>
  <c r="T76" i="30"/>
  <c r="L76" i="30"/>
  <c r="T75" i="30"/>
  <c r="L75" i="30"/>
  <c r="T74" i="30"/>
  <c r="L74" i="30"/>
  <c r="T73" i="30"/>
  <c r="L73" i="30"/>
  <c r="T72" i="30"/>
  <c r="L72" i="30"/>
  <c r="T71" i="30"/>
  <c r="L71" i="30"/>
  <c r="T70" i="30"/>
  <c r="L70" i="30"/>
  <c r="T69" i="30"/>
  <c r="L69" i="30"/>
  <c r="T68" i="30"/>
  <c r="L68" i="30"/>
  <c r="T67" i="30"/>
  <c r="L67" i="30"/>
  <c r="T66" i="30"/>
  <c r="L66" i="30"/>
  <c r="T65" i="30"/>
  <c r="L65" i="30"/>
  <c r="T64" i="30"/>
  <c r="L64" i="30"/>
  <c r="T63" i="30"/>
  <c r="L63" i="30"/>
  <c r="T62" i="30"/>
  <c r="L62" i="30"/>
  <c r="T61" i="30"/>
  <c r="L61" i="30"/>
  <c r="T60" i="30"/>
  <c r="L60" i="30"/>
  <c r="T59" i="30"/>
  <c r="L59" i="30"/>
  <c r="T58" i="30"/>
  <c r="L58" i="30"/>
  <c r="T57" i="30"/>
  <c r="L57" i="30"/>
  <c r="T56" i="30"/>
  <c r="L56" i="30"/>
  <c r="T55" i="30"/>
  <c r="L55" i="30"/>
  <c r="T54" i="30"/>
  <c r="L54" i="30"/>
  <c r="T53" i="30"/>
  <c r="L53" i="30"/>
  <c r="T52" i="30"/>
  <c r="L52" i="30"/>
  <c r="T51" i="30"/>
  <c r="L51" i="30"/>
  <c r="T50" i="30"/>
  <c r="L50" i="30"/>
  <c r="T49" i="30"/>
  <c r="L49" i="30"/>
  <c r="T48" i="30"/>
  <c r="L48" i="30"/>
  <c r="T47" i="30"/>
  <c r="L47" i="30"/>
  <c r="T46" i="30"/>
  <c r="L46" i="30"/>
  <c r="T45" i="30"/>
  <c r="L45" i="30"/>
  <c r="T44" i="30"/>
  <c r="L44" i="30"/>
  <c r="T43" i="30"/>
  <c r="L43" i="30"/>
  <c r="T42" i="30"/>
  <c r="L42" i="30"/>
  <c r="T41" i="30"/>
  <c r="L41" i="30"/>
  <c r="T40" i="30"/>
  <c r="L40" i="30"/>
  <c r="T39" i="30"/>
  <c r="L39" i="30"/>
  <c r="T38" i="30"/>
  <c r="L38" i="30"/>
  <c r="T37" i="30"/>
  <c r="L37" i="30"/>
  <c r="T36" i="30"/>
  <c r="L36" i="30"/>
  <c r="T35" i="30"/>
  <c r="L35" i="30"/>
  <c r="T34" i="30"/>
  <c r="L34" i="30"/>
  <c r="T33" i="30"/>
  <c r="L33" i="30"/>
  <c r="T32" i="30"/>
  <c r="L32" i="30"/>
  <c r="T31" i="30"/>
  <c r="L31" i="30"/>
  <c r="T30" i="30"/>
  <c r="L30" i="30"/>
  <c r="T29" i="30"/>
  <c r="L29" i="30"/>
  <c r="T28" i="30"/>
  <c r="L28" i="30"/>
  <c r="T27" i="30"/>
  <c r="L27" i="30"/>
  <c r="T26" i="30"/>
  <c r="L26" i="30"/>
  <c r="T25" i="30"/>
  <c r="L25" i="30"/>
  <c r="T24" i="30"/>
  <c r="L24" i="30"/>
  <c r="T23" i="30"/>
  <c r="L23" i="30"/>
  <c r="T22" i="30"/>
  <c r="L22" i="30"/>
  <c r="T21" i="30"/>
  <c r="L21" i="30"/>
  <c r="T20" i="30"/>
  <c r="L20" i="30"/>
  <c r="T19" i="30"/>
  <c r="L19" i="30"/>
  <c r="T18" i="30"/>
  <c r="L18" i="30"/>
  <c r="T17" i="30"/>
  <c r="L17" i="30"/>
  <c r="T16" i="30"/>
  <c r="L16" i="30"/>
  <c r="T15" i="30"/>
  <c r="L15" i="30"/>
  <c r="T14" i="30"/>
  <c r="L14" i="30"/>
  <c r="T13" i="30"/>
  <c r="L13" i="30"/>
  <c r="T12" i="30"/>
  <c r="L12" i="30"/>
  <c r="T11" i="30"/>
  <c r="L11" i="30"/>
  <c r="T10" i="30"/>
  <c r="L10" i="30"/>
  <c r="T9" i="30"/>
  <c r="L9" i="30"/>
  <c r="T8" i="30"/>
  <c r="L8" i="30"/>
  <c r="T7" i="30"/>
  <c r="L7" i="30"/>
  <c r="T6" i="30"/>
  <c r="L6" i="30"/>
  <c r="T5" i="30"/>
  <c r="L5" i="30"/>
  <c r="T4" i="30"/>
  <c r="L4" i="30"/>
  <c r="J4" i="30"/>
  <c r="J7" i="30" s="1"/>
  <c r="M3" i="30"/>
  <c r="U22" i="30" s="1"/>
  <c r="D18" i="7" l="1"/>
  <c r="C171" i="33"/>
  <c r="N85" i="36"/>
  <c r="O4" i="36" s="1"/>
  <c r="J7" i="36"/>
  <c r="C172" i="33"/>
  <c r="E8" i="33"/>
  <c r="C124" i="33" s="1"/>
  <c r="U4" i="31"/>
  <c r="U5" i="31"/>
  <c r="U10" i="31"/>
  <c r="U11" i="31"/>
  <c r="U28" i="31"/>
  <c r="U29" i="31"/>
  <c r="U30" i="31"/>
  <c r="U15" i="31"/>
  <c r="U16" i="31"/>
  <c r="U22" i="31"/>
  <c r="U38" i="31"/>
  <c r="U15" i="30"/>
  <c r="U14" i="30"/>
  <c r="U26" i="30"/>
  <c r="U5" i="30"/>
  <c r="U23" i="30"/>
  <c r="F6" i="33"/>
  <c r="K23" i="23" s="1"/>
  <c r="C184" i="33"/>
  <c r="U20" i="32"/>
  <c r="U6" i="32"/>
  <c r="U7" i="32"/>
  <c r="U12" i="32"/>
  <c r="U16" i="32"/>
  <c r="C170" i="33"/>
  <c r="F18" i="33"/>
  <c r="U8" i="36"/>
  <c r="U9" i="36"/>
  <c r="U18" i="36"/>
  <c r="U6" i="36"/>
  <c r="U15" i="36"/>
  <c r="J5" i="36"/>
  <c r="U5" i="36"/>
  <c r="U11" i="36"/>
  <c r="U14" i="36"/>
  <c r="U81" i="36"/>
  <c r="U77" i="36"/>
  <c r="U73" i="36"/>
  <c r="U69" i="36"/>
  <c r="U82" i="36"/>
  <c r="U78" i="36"/>
  <c r="U74" i="36"/>
  <c r="U70" i="36"/>
  <c r="U66" i="36"/>
  <c r="U84" i="36"/>
  <c r="U80" i="36"/>
  <c r="U76" i="36"/>
  <c r="U72" i="36"/>
  <c r="U68" i="36"/>
  <c r="U75" i="36"/>
  <c r="U64" i="36"/>
  <c r="U59" i="36"/>
  <c r="U55" i="36"/>
  <c r="U51" i="36"/>
  <c r="U47" i="36"/>
  <c r="U71" i="36"/>
  <c r="U65" i="36"/>
  <c r="U60" i="36"/>
  <c r="U56" i="36"/>
  <c r="U52" i="36"/>
  <c r="U48" i="36"/>
  <c r="U44" i="36"/>
  <c r="U40" i="36"/>
  <c r="U36" i="36"/>
  <c r="U32" i="36"/>
  <c r="U83" i="36"/>
  <c r="U79" i="36"/>
  <c r="U67" i="36"/>
  <c r="U61" i="36"/>
  <c r="U57" i="36"/>
  <c r="U53" i="36"/>
  <c r="U49" i="36"/>
  <c r="U63" i="36"/>
  <c r="U62" i="36"/>
  <c r="U58" i="36"/>
  <c r="U54" i="36"/>
  <c r="U41" i="36"/>
  <c r="U35" i="36"/>
  <c r="U42" i="36"/>
  <c r="U37" i="36"/>
  <c r="U46" i="36"/>
  <c r="U43" i="36"/>
  <c r="U38" i="36"/>
  <c r="U33" i="36"/>
  <c r="U30" i="36"/>
  <c r="U26" i="36"/>
  <c r="U22" i="36"/>
  <c r="U50" i="36"/>
  <c r="U45" i="36"/>
  <c r="U39" i="36"/>
  <c r="U34" i="36"/>
  <c r="U31" i="36"/>
  <c r="U29" i="36"/>
  <c r="U24" i="36"/>
  <c r="U21" i="36"/>
  <c r="U17" i="36"/>
  <c r="U13" i="36"/>
  <c r="U25" i="36"/>
  <c r="U27" i="36"/>
  <c r="U19" i="36"/>
  <c r="U28" i="36"/>
  <c r="U23" i="36"/>
  <c r="U20" i="36"/>
  <c r="U16" i="36"/>
  <c r="U12" i="36"/>
  <c r="U7" i="36"/>
  <c r="U10" i="36"/>
  <c r="C183" i="33"/>
  <c r="F9" i="33"/>
  <c r="C174" i="33"/>
  <c r="C175" i="33"/>
  <c r="J5" i="30"/>
  <c r="O4" i="32"/>
  <c r="C182" i="33"/>
  <c r="F7" i="33"/>
  <c r="E7" i="33" s="1"/>
  <c r="C123" i="33" s="1"/>
  <c r="U24" i="32"/>
  <c r="U36" i="32"/>
  <c r="U40" i="32"/>
  <c r="U4" i="32"/>
  <c r="J5" i="32"/>
  <c r="U5" i="32"/>
  <c r="U11" i="32"/>
  <c r="U15" i="32"/>
  <c r="U19" i="32"/>
  <c r="U23" i="32"/>
  <c r="U25" i="32"/>
  <c r="U81" i="32"/>
  <c r="U77" i="32"/>
  <c r="U73" i="32"/>
  <c r="U69" i="32"/>
  <c r="U65" i="32"/>
  <c r="U82" i="32"/>
  <c r="U78" i="32"/>
  <c r="U74" i="32"/>
  <c r="U70" i="32"/>
  <c r="U66" i="32"/>
  <c r="U83" i="32"/>
  <c r="U79" i="32"/>
  <c r="U75" i="32"/>
  <c r="U71" i="32"/>
  <c r="U67" i="32"/>
  <c r="U63" i="32"/>
  <c r="U84" i="32"/>
  <c r="U80" i="32"/>
  <c r="U76" i="32"/>
  <c r="U72" i="32"/>
  <c r="U62" i="32"/>
  <c r="U58" i="32"/>
  <c r="U54" i="32"/>
  <c r="U50" i="32"/>
  <c r="U46" i="32"/>
  <c r="U59" i="32"/>
  <c r="U55" i="32"/>
  <c r="U51" i="32"/>
  <c r="U47" i="32"/>
  <c r="U64" i="32"/>
  <c r="U60" i="32"/>
  <c r="U56" i="32"/>
  <c r="U52" i="32"/>
  <c r="U48" i="32"/>
  <c r="U68" i="32"/>
  <c r="U61" i="32"/>
  <c r="U45" i="32"/>
  <c r="U41" i="32"/>
  <c r="U37" i="32"/>
  <c r="U33" i="32"/>
  <c r="U29" i="32"/>
  <c r="U42" i="32"/>
  <c r="U38" i="32"/>
  <c r="U34" i="32"/>
  <c r="U30" i="32"/>
  <c r="U26" i="32"/>
  <c r="U43" i="32"/>
  <c r="U39" i="32"/>
  <c r="U35" i="32"/>
  <c r="U31" i="32"/>
  <c r="U27" i="32"/>
  <c r="U57" i="32"/>
  <c r="U53" i="32"/>
  <c r="U49" i="32"/>
  <c r="U44" i="32"/>
  <c r="N85" i="32"/>
  <c r="F8" i="42" s="1"/>
  <c r="E8" i="42" s="1"/>
  <c r="C124" i="42" s="1"/>
  <c r="U10" i="32"/>
  <c r="U14" i="32"/>
  <c r="U18" i="32"/>
  <c r="U22" i="32"/>
  <c r="U8" i="32"/>
  <c r="U9" i="32"/>
  <c r="U13" i="32"/>
  <c r="U17" i="32"/>
  <c r="U21" i="32"/>
  <c r="U32" i="32"/>
  <c r="J9" i="31"/>
  <c r="O4" i="31"/>
  <c r="J5" i="31"/>
  <c r="U26" i="31"/>
  <c r="U81" i="31"/>
  <c r="U77" i="31"/>
  <c r="U73" i="31"/>
  <c r="U69" i="31"/>
  <c r="U65" i="31"/>
  <c r="U84" i="31"/>
  <c r="U79" i="31"/>
  <c r="U74" i="31"/>
  <c r="U80" i="31"/>
  <c r="U75" i="31"/>
  <c r="U70" i="31"/>
  <c r="U64" i="31"/>
  <c r="U59" i="31"/>
  <c r="U83" i="31"/>
  <c r="U62" i="31"/>
  <c r="U57" i="31"/>
  <c r="U54" i="31"/>
  <c r="U50" i="31"/>
  <c r="U46" i="31"/>
  <c r="U42" i="31"/>
  <c r="U82" i="31"/>
  <c r="U78" i="31"/>
  <c r="U76" i="31"/>
  <c r="U68" i="31"/>
  <c r="U67" i="31"/>
  <c r="U66" i="31"/>
  <c r="U58" i="31"/>
  <c r="U55" i="31"/>
  <c r="U51" i="31"/>
  <c r="U47" i="31"/>
  <c r="U43" i="31"/>
  <c r="U39" i="31"/>
  <c r="U35" i="31"/>
  <c r="U31" i="31"/>
  <c r="U27" i="31"/>
  <c r="U71" i="31"/>
  <c r="U49" i="31"/>
  <c r="U37" i="31"/>
  <c r="U32" i="31"/>
  <c r="U25" i="31"/>
  <c r="U21" i="31"/>
  <c r="U17" i="31"/>
  <c r="U13" i="31"/>
  <c r="U9" i="31"/>
  <c r="U8" i="31"/>
  <c r="U61" i="31"/>
  <c r="U52" i="31"/>
  <c r="U44" i="31"/>
  <c r="U6" i="31"/>
  <c r="U14" i="31"/>
  <c r="U19" i="31"/>
  <c r="U24" i="31"/>
  <c r="U34" i="31"/>
  <c r="N85" i="31"/>
  <c r="F8" i="41" s="1"/>
  <c r="E8" i="41" s="1"/>
  <c r="C124" i="41" s="1"/>
  <c r="U33" i="31"/>
  <c r="U40" i="31"/>
  <c r="U41" i="31"/>
  <c r="U48" i="31"/>
  <c r="U56" i="31"/>
  <c r="U72" i="31"/>
  <c r="U7" i="31"/>
  <c r="U12" i="31"/>
  <c r="U18" i="31"/>
  <c r="U23" i="31"/>
  <c r="U36" i="31"/>
  <c r="U45" i="31"/>
  <c r="U53" i="31"/>
  <c r="U60" i="31"/>
  <c r="U63" i="31"/>
  <c r="U11" i="30"/>
  <c r="U19" i="30"/>
  <c r="U30" i="30"/>
  <c r="U81" i="30"/>
  <c r="U77" i="30"/>
  <c r="U73" i="30"/>
  <c r="U69" i="30"/>
  <c r="U82" i="30"/>
  <c r="U78" i="30"/>
  <c r="U74" i="30"/>
  <c r="U70" i="30"/>
  <c r="U66" i="30"/>
  <c r="U83" i="30"/>
  <c r="U79" i="30"/>
  <c r="U75" i="30"/>
  <c r="U71" i="30"/>
  <c r="U67" i="30"/>
  <c r="U63" i="30"/>
  <c r="U84" i="30"/>
  <c r="U80" i="30"/>
  <c r="U62" i="30"/>
  <c r="U64" i="30"/>
  <c r="U59" i="30"/>
  <c r="U55" i="30"/>
  <c r="U51" i="30"/>
  <c r="U76" i="30"/>
  <c r="U72" i="30"/>
  <c r="U68" i="30"/>
  <c r="U61" i="30"/>
  <c r="U57" i="30"/>
  <c r="U53" i="30"/>
  <c r="U49" i="30"/>
  <c r="U54" i="30"/>
  <c r="U45" i="30"/>
  <c r="U41" i="30"/>
  <c r="U37" i="30"/>
  <c r="U56" i="30"/>
  <c r="U48" i="30"/>
  <c r="U46" i="30"/>
  <c r="U42" i="30"/>
  <c r="U38" i="30"/>
  <c r="U65" i="30"/>
  <c r="U50" i="30"/>
  <c r="U40" i="30"/>
  <c r="U32" i="30"/>
  <c r="U28" i="30"/>
  <c r="U24" i="30"/>
  <c r="U20" i="30"/>
  <c r="U16" i="30"/>
  <c r="U12" i="30"/>
  <c r="U7" i="30"/>
  <c r="U6" i="30"/>
  <c r="U35" i="30"/>
  <c r="U58" i="30"/>
  <c r="U43" i="30"/>
  <c r="U34" i="30"/>
  <c r="U33" i="30"/>
  <c r="U29" i="30"/>
  <c r="U25" i="30"/>
  <c r="U21" i="30"/>
  <c r="U17" i="30"/>
  <c r="U13" i="30"/>
  <c r="U9" i="30"/>
  <c r="U8" i="30"/>
  <c r="U60" i="30"/>
  <c r="U44" i="30"/>
  <c r="U52" i="30"/>
  <c r="U47" i="30"/>
  <c r="U39" i="30"/>
  <c r="U36" i="30"/>
  <c r="U31" i="30"/>
  <c r="U27" i="30"/>
  <c r="U4" i="30"/>
  <c r="U10" i="30"/>
  <c r="U18" i="30"/>
  <c r="O4" i="30"/>
  <c r="J9" i="30"/>
  <c r="D116" i="18"/>
  <c r="E116" i="18"/>
  <c r="F116" i="18"/>
  <c r="G116" i="18"/>
  <c r="C116" i="18"/>
  <c r="C181" i="18"/>
  <c r="J7" i="31" l="1"/>
  <c r="E9" i="33"/>
  <c r="C125" i="33" s="1"/>
  <c r="E15" i="27"/>
  <c r="J7" i="32"/>
  <c r="E6" i="33"/>
  <c r="C122" i="33" s="1"/>
  <c r="F116" i="42"/>
  <c r="F116" i="41"/>
  <c r="F116" i="33"/>
  <c r="G116" i="41"/>
  <c r="G116" i="42"/>
  <c r="G116" i="33"/>
  <c r="E116" i="41"/>
  <c r="E116" i="33"/>
  <c r="E116" i="42"/>
  <c r="C116" i="42"/>
  <c r="C177" i="42" s="1"/>
  <c r="C116" i="33"/>
  <c r="C177" i="33" s="1"/>
  <c r="C116" i="41"/>
  <c r="C177" i="41" s="1"/>
  <c r="D116" i="33"/>
  <c r="D116" i="42"/>
  <c r="D116" i="41"/>
  <c r="B200" i="18" l="1"/>
  <c r="C183" i="18"/>
  <c r="C182" i="18"/>
  <c r="C174" i="18"/>
  <c r="C172" i="18"/>
  <c r="C173" i="18"/>
  <c r="C184" i="18"/>
  <c r="C171" i="18"/>
  <c r="C28" i="7"/>
  <c r="C12" i="17" s="1"/>
  <c r="F12" i="18"/>
  <c r="F23" i="18"/>
  <c r="E21" i="25" s="1"/>
  <c r="F11" i="18"/>
  <c r="E9" i="25" s="1"/>
  <c r="F21" i="18"/>
  <c r="E16" i="25" s="1"/>
  <c r="F20" i="18"/>
  <c r="E12" i="25" s="1"/>
  <c r="F7" i="18"/>
  <c r="B204" i="18"/>
  <c r="B203" i="18"/>
  <c r="F22" i="18" s="1"/>
  <c r="E18" i="25" s="1"/>
  <c r="B202" i="18"/>
  <c r="B201" i="18"/>
  <c r="B199" i="18"/>
  <c r="B198" i="18"/>
  <c r="D12" i="39" l="1"/>
  <c r="E12" i="39"/>
  <c r="C12" i="34"/>
  <c r="F12" i="39"/>
  <c r="D12" i="40"/>
  <c r="G12" i="39"/>
  <c r="D12" i="17"/>
  <c r="G12" i="34"/>
  <c r="E12" i="40"/>
  <c r="C12" i="39"/>
  <c r="E12" i="17"/>
  <c r="F12" i="40"/>
  <c r="D12" i="34"/>
  <c r="F12" i="17"/>
  <c r="G12" i="40"/>
  <c r="E12" i="34"/>
  <c r="G12" i="17"/>
  <c r="C12" i="40"/>
  <c r="F12" i="34"/>
  <c r="E9" i="18"/>
  <c r="C125" i="18" s="1"/>
  <c r="E10" i="27"/>
  <c r="C180" i="42"/>
  <c r="B187" i="42" s="1"/>
  <c r="C180" i="41"/>
  <c r="B187" i="41" s="1"/>
  <c r="F22" i="42"/>
  <c r="E22" i="42" s="1"/>
  <c r="C141" i="42" s="1"/>
  <c r="F22" i="41"/>
  <c r="E22" i="41" s="1"/>
  <c r="C141" i="41" s="1"/>
  <c r="F23" i="42"/>
  <c r="E23" i="42" s="1"/>
  <c r="C142" i="42" s="1"/>
  <c r="F23" i="41"/>
  <c r="E23" i="41" s="1"/>
  <c r="C142" i="41" s="1"/>
  <c r="F20" i="42"/>
  <c r="E20" i="42" s="1"/>
  <c r="C139" i="42" s="1"/>
  <c r="F20" i="41"/>
  <c r="E20" i="41" s="1"/>
  <c r="C139" i="41" s="1"/>
  <c r="F12" i="41"/>
  <c r="E12" i="41" s="1"/>
  <c r="C128" i="41" s="1"/>
  <c r="F12" i="42"/>
  <c r="E12" i="42" s="1"/>
  <c r="C128" i="42" s="1"/>
  <c r="F11" i="42"/>
  <c r="E11" i="42" s="1"/>
  <c r="C127" i="42" s="1"/>
  <c r="F11" i="41"/>
  <c r="E11" i="41" s="1"/>
  <c r="C127" i="41" s="1"/>
  <c r="F21" i="42"/>
  <c r="E21" i="42" s="1"/>
  <c r="C140" i="42" s="1"/>
  <c r="F21" i="41"/>
  <c r="E21" i="41" s="1"/>
  <c r="C140" i="41" s="1"/>
  <c r="C180" i="18"/>
  <c r="C180" i="33"/>
  <c r="B187" i="33" s="1"/>
  <c r="E23" i="18"/>
  <c r="C142" i="18" s="1"/>
  <c r="F23" i="33"/>
  <c r="E23" i="33" s="1"/>
  <c r="C142" i="33" s="1"/>
  <c r="E22" i="18"/>
  <c r="C141" i="18" s="1"/>
  <c r="F22" i="33"/>
  <c r="E22" i="33" s="1"/>
  <c r="C141" i="33" s="1"/>
  <c r="E20" i="18"/>
  <c r="C139" i="18" s="1"/>
  <c r="F20" i="33"/>
  <c r="E20" i="33" s="1"/>
  <c r="C139" i="33" s="1"/>
  <c r="E12" i="18"/>
  <c r="C128" i="18" s="1"/>
  <c r="F12" i="33"/>
  <c r="E12" i="33" s="1"/>
  <c r="C128" i="33" s="1"/>
  <c r="E21" i="18"/>
  <c r="C140" i="18" s="1"/>
  <c r="F21" i="33"/>
  <c r="E21" i="33" s="1"/>
  <c r="C140" i="33" s="1"/>
  <c r="E11" i="18"/>
  <c r="C127" i="18" s="1"/>
  <c r="F11" i="33"/>
  <c r="E11" i="33" s="1"/>
  <c r="C127" i="33" s="1"/>
  <c r="E7" i="18"/>
  <c r="C123" i="18" s="1"/>
  <c r="D21" i="7"/>
  <c r="D24" i="7"/>
  <c r="C170" i="18"/>
  <c r="J4" i="26"/>
  <c r="J9" i="26" s="1"/>
  <c r="F52" i="40" l="1"/>
  <c r="C52" i="39"/>
  <c r="G52" i="39"/>
  <c r="E52" i="39"/>
  <c r="F52" i="39"/>
  <c r="D52" i="39"/>
  <c r="G52" i="40"/>
  <c r="C52" i="40"/>
  <c r="E52" i="40"/>
  <c r="D52" i="40"/>
  <c r="B187" i="18"/>
  <c r="E52" i="34"/>
  <c r="G52" i="34"/>
  <c r="C52" i="34"/>
  <c r="D52" i="34"/>
  <c r="F52" i="34"/>
  <c r="T84" i="26" l="1"/>
  <c r="N84" i="26"/>
  <c r="L84" i="26"/>
  <c r="T83" i="26"/>
  <c r="N83" i="26"/>
  <c r="L83" i="26"/>
  <c r="T82" i="26"/>
  <c r="N82" i="26"/>
  <c r="L82" i="26"/>
  <c r="T81" i="26"/>
  <c r="N81" i="26"/>
  <c r="L81" i="26"/>
  <c r="T80" i="26"/>
  <c r="N80" i="26"/>
  <c r="L80" i="26"/>
  <c r="T79" i="26"/>
  <c r="N79" i="26"/>
  <c r="L79" i="26"/>
  <c r="T78" i="26"/>
  <c r="N78" i="26"/>
  <c r="L78" i="26"/>
  <c r="T77" i="26"/>
  <c r="N77" i="26"/>
  <c r="L77" i="26"/>
  <c r="T76" i="26"/>
  <c r="N76" i="26"/>
  <c r="L76" i="26"/>
  <c r="T75" i="26"/>
  <c r="N75" i="26"/>
  <c r="L75" i="26"/>
  <c r="T74" i="26"/>
  <c r="N74" i="26"/>
  <c r="L74" i="26"/>
  <c r="T73" i="26"/>
  <c r="N73" i="26"/>
  <c r="L73" i="26"/>
  <c r="T72" i="26"/>
  <c r="N72" i="26"/>
  <c r="L72" i="26"/>
  <c r="T71" i="26"/>
  <c r="N71" i="26"/>
  <c r="L71" i="26"/>
  <c r="T70" i="26"/>
  <c r="N70" i="26"/>
  <c r="L70" i="26"/>
  <c r="T69" i="26"/>
  <c r="N69" i="26"/>
  <c r="L69" i="26"/>
  <c r="T68" i="26"/>
  <c r="N68" i="26"/>
  <c r="L68" i="26"/>
  <c r="T67" i="26"/>
  <c r="N67" i="26"/>
  <c r="L67" i="26"/>
  <c r="T66" i="26"/>
  <c r="N66" i="26"/>
  <c r="L66" i="26"/>
  <c r="T65" i="26"/>
  <c r="N65" i="26"/>
  <c r="L65" i="26"/>
  <c r="T64" i="26"/>
  <c r="N64" i="26"/>
  <c r="L64" i="26"/>
  <c r="T63" i="26"/>
  <c r="N63" i="26"/>
  <c r="L63" i="26"/>
  <c r="T62" i="26"/>
  <c r="N62" i="26"/>
  <c r="L62" i="26"/>
  <c r="T61" i="26"/>
  <c r="N61" i="26"/>
  <c r="L61" i="26"/>
  <c r="T60" i="26"/>
  <c r="N60" i="26"/>
  <c r="L60" i="26"/>
  <c r="T59" i="26"/>
  <c r="N59" i="26"/>
  <c r="L59" i="26"/>
  <c r="T58" i="26"/>
  <c r="N58" i="26"/>
  <c r="L58" i="26"/>
  <c r="T57" i="26"/>
  <c r="N57" i="26"/>
  <c r="L57" i="26"/>
  <c r="T56" i="26"/>
  <c r="N56" i="26"/>
  <c r="L56" i="26"/>
  <c r="T55" i="26"/>
  <c r="N55" i="26"/>
  <c r="L55" i="26"/>
  <c r="T54" i="26"/>
  <c r="N54" i="26"/>
  <c r="L54" i="26"/>
  <c r="T53" i="26"/>
  <c r="N53" i="26"/>
  <c r="L53" i="26"/>
  <c r="T52" i="26"/>
  <c r="N52" i="26"/>
  <c r="L52" i="26"/>
  <c r="T51" i="26"/>
  <c r="N51" i="26"/>
  <c r="L51" i="26"/>
  <c r="T50" i="26"/>
  <c r="N50" i="26"/>
  <c r="L50" i="26"/>
  <c r="T49" i="26"/>
  <c r="N49" i="26"/>
  <c r="L49" i="26"/>
  <c r="T48" i="26"/>
  <c r="N48" i="26"/>
  <c r="L48" i="26"/>
  <c r="T47" i="26"/>
  <c r="N47" i="26"/>
  <c r="L47" i="26"/>
  <c r="T46" i="26"/>
  <c r="N46" i="26"/>
  <c r="L46" i="26"/>
  <c r="T45" i="26"/>
  <c r="N45" i="26"/>
  <c r="L45" i="26"/>
  <c r="T44" i="26"/>
  <c r="N44" i="26"/>
  <c r="L44" i="26"/>
  <c r="T43" i="26"/>
  <c r="N43" i="26"/>
  <c r="L43" i="26"/>
  <c r="T42" i="26"/>
  <c r="N42" i="26"/>
  <c r="L42" i="26"/>
  <c r="T41" i="26"/>
  <c r="N41" i="26"/>
  <c r="L41" i="26"/>
  <c r="T40" i="26"/>
  <c r="N40" i="26"/>
  <c r="L40" i="26"/>
  <c r="T39" i="26"/>
  <c r="N39" i="26"/>
  <c r="L39" i="26"/>
  <c r="T38" i="26"/>
  <c r="N38" i="26"/>
  <c r="L38" i="26"/>
  <c r="T37" i="26"/>
  <c r="N37" i="26"/>
  <c r="L37" i="26"/>
  <c r="T36" i="26"/>
  <c r="N36" i="26"/>
  <c r="L36" i="26"/>
  <c r="T35" i="26"/>
  <c r="N35" i="26"/>
  <c r="L35" i="26"/>
  <c r="T34" i="26"/>
  <c r="N34" i="26"/>
  <c r="L34" i="26"/>
  <c r="T33" i="26"/>
  <c r="N33" i="26"/>
  <c r="L33" i="26"/>
  <c r="T32" i="26"/>
  <c r="N32" i="26"/>
  <c r="L32" i="26"/>
  <c r="T31" i="26"/>
  <c r="N31" i="26"/>
  <c r="L31" i="26"/>
  <c r="T30" i="26"/>
  <c r="N30" i="26"/>
  <c r="L30" i="26"/>
  <c r="T29" i="26"/>
  <c r="N29" i="26"/>
  <c r="L29" i="26"/>
  <c r="T28" i="26"/>
  <c r="N28" i="26"/>
  <c r="L28" i="26"/>
  <c r="T27" i="26"/>
  <c r="N27" i="26"/>
  <c r="L27" i="26"/>
  <c r="T26" i="26"/>
  <c r="N26" i="26"/>
  <c r="L26" i="26"/>
  <c r="T25" i="26"/>
  <c r="N25" i="26"/>
  <c r="L25" i="26"/>
  <c r="T24" i="26"/>
  <c r="N24" i="26"/>
  <c r="L24" i="26"/>
  <c r="T23" i="26"/>
  <c r="N23" i="26"/>
  <c r="L23" i="26"/>
  <c r="T22" i="26"/>
  <c r="N22" i="26"/>
  <c r="L22" i="26"/>
  <c r="T21" i="26"/>
  <c r="N21" i="26"/>
  <c r="L21" i="26"/>
  <c r="T20" i="26"/>
  <c r="N20" i="26"/>
  <c r="L20" i="26"/>
  <c r="T19" i="26"/>
  <c r="N19" i="26"/>
  <c r="L19" i="26"/>
  <c r="T18" i="26"/>
  <c r="N18" i="26"/>
  <c r="L18" i="26"/>
  <c r="T17" i="26"/>
  <c r="N17" i="26"/>
  <c r="L17" i="26"/>
  <c r="T16" i="26"/>
  <c r="N16" i="26"/>
  <c r="L16" i="26"/>
  <c r="T15" i="26"/>
  <c r="N15" i="26"/>
  <c r="L15" i="26"/>
  <c r="T14" i="26"/>
  <c r="N14" i="26"/>
  <c r="L14" i="26"/>
  <c r="T13" i="26"/>
  <c r="N13" i="26"/>
  <c r="L13" i="26"/>
  <c r="T12" i="26"/>
  <c r="N12" i="26"/>
  <c r="L12" i="26"/>
  <c r="T11" i="26"/>
  <c r="N11" i="26"/>
  <c r="L11" i="26"/>
  <c r="T10" i="26"/>
  <c r="N10" i="26"/>
  <c r="L10" i="26"/>
  <c r="T9" i="26"/>
  <c r="N9" i="26"/>
  <c r="L9" i="26"/>
  <c r="T8" i="26"/>
  <c r="N8" i="26"/>
  <c r="L8" i="26"/>
  <c r="T7" i="26"/>
  <c r="N7" i="26"/>
  <c r="L7" i="26"/>
  <c r="T6" i="26"/>
  <c r="N6" i="26"/>
  <c r="L6" i="26"/>
  <c r="T5" i="26"/>
  <c r="N5" i="26"/>
  <c r="L5" i="26"/>
  <c r="T4" i="26"/>
  <c r="N4" i="26"/>
  <c r="L4" i="26"/>
  <c r="J5" i="26"/>
  <c r="M3" i="26"/>
  <c r="U26" i="26" s="1"/>
  <c r="I22" i="22"/>
  <c r="F16" i="18" s="1"/>
  <c r="I27" i="22"/>
  <c r="F25" i="18" s="1"/>
  <c r="I16" i="22"/>
  <c r="F15" i="18" s="1"/>
  <c r="I11" i="22"/>
  <c r="F14" i="18" s="1"/>
  <c r="F14" i="33" s="1"/>
  <c r="C109" i="18"/>
  <c r="C177" i="18"/>
  <c r="G115" i="18"/>
  <c r="D115" i="18"/>
  <c r="E115" i="18"/>
  <c r="F115" i="18"/>
  <c r="C115" i="18"/>
  <c r="F25" i="41" l="1"/>
  <c r="E25" i="41" s="1"/>
  <c r="C144" i="41" s="1"/>
  <c r="E25" i="18"/>
  <c r="C144" i="18" s="1"/>
  <c r="F25" i="33"/>
  <c r="E25" i="33" s="1"/>
  <c r="C144" i="33" s="1"/>
  <c r="F25" i="42"/>
  <c r="E25" i="42" s="1"/>
  <c r="C144" i="42" s="1"/>
  <c r="J27" i="22"/>
  <c r="F16" i="33"/>
  <c r="E16" i="33" s="1"/>
  <c r="C132" i="33" s="1"/>
  <c r="E16" i="18"/>
  <c r="C132" i="18" s="1"/>
  <c r="J22" i="22"/>
  <c r="F16" i="42"/>
  <c r="E16" i="42" s="1"/>
  <c r="C132" i="42" s="1"/>
  <c r="F16" i="41"/>
  <c r="E16" i="41" s="1"/>
  <c r="C132" i="41" s="1"/>
  <c r="F15" i="33"/>
  <c r="E15" i="33" s="1"/>
  <c r="C131" i="33" s="1"/>
  <c r="F15" i="42"/>
  <c r="E15" i="42" s="1"/>
  <c r="C131" i="42" s="1"/>
  <c r="F15" i="41"/>
  <c r="E15" i="41" s="1"/>
  <c r="C131" i="41" s="1"/>
  <c r="E15" i="18"/>
  <c r="C131" i="18" s="1"/>
  <c r="J16" i="22"/>
  <c r="E14" i="33"/>
  <c r="C130" i="33" s="1"/>
  <c r="C109" i="42"/>
  <c r="C109" i="33"/>
  <c r="C109" i="41"/>
  <c r="E115" i="33"/>
  <c r="E115" i="42"/>
  <c r="E115" i="41"/>
  <c r="D115" i="33"/>
  <c r="D115" i="42"/>
  <c r="D115" i="41"/>
  <c r="F115" i="41"/>
  <c r="F115" i="33"/>
  <c r="F115" i="42"/>
  <c r="C115" i="42"/>
  <c r="C115" i="41"/>
  <c r="C115" i="33"/>
  <c r="B36" i="39"/>
  <c r="B36" i="40"/>
  <c r="G115" i="42"/>
  <c r="G115" i="33"/>
  <c r="G115" i="41"/>
  <c r="C175" i="18"/>
  <c r="B36" i="34"/>
  <c r="B36" i="17"/>
  <c r="C176" i="18"/>
  <c r="U7" i="26"/>
  <c r="U4" i="26"/>
  <c r="N85" i="26"/>
  <c r="J7" i="26" s="1"/>
  <c r="U22" i="26"/>
  <c r="U11" i="26"/>
  <c r="U5" i="26"/>
  <c r="U10" i="26"/>
  <c r="U12" i="26"/>
  <c r="U17" i="26"/>
  <c r="U21" i="26"/>
  <c r="U33" i="26"/>
  <c r="U37" i="26"/>
  <c r="U38" i="26"/>
  <c r="U50" i="26"/>
  <c r="U55" i="26"/>
  <c r="U81" i="26"/>
  <c r="U77" i="26"/>
  <c r="U73" i="26"/>
  <c r="U84" i="26"/>
  <c r="U80" i="26"/>
  <c r="U76" i="26"/>
  <c r="U72" i="26"/>
  <c r="U68" i="26"/>
  <c r="U64" i="26"/>
  <c r="U82" i="26"/>
  <c r="U74" i="26"/>
  <c r="U66" i="26"/>
  <c r="U61" i="26"/>
  <c r="U57" i="26"/>
  <c r="U83" i="26"/>
  <c r="U75" i="26"/>
  <c r="U67" i="26"/>
  <c r="U62" i="26"/>
  <c r="U58" i="26"/>
  <c r="U54" i="26"/>
  <c r="U79" i="26"/>
  <c r="U71" i="26"/>
  <c r="U65" i="26"/>
  <c r="U60" i="26"/>
  <c r="U56" i="26"/>
  <c r="U52" i="26"/>
  <c r="U69" i="26"/>
  <c r="U51" i="26"/>
  <c r="U47" i="26"/>
  <c r="U43" i="26"/>
  <c r="U39" i="26"/>
  <c r="U35" i="26"/>
  <c r="U70" i="26"/>
  <c r="U53" i="26"/>
  <c r="U48" i="26"/>
  <c r="U44" i="26"/>
  <c r="U40" i="26"/>
  <c r="U36" i="26"/>
  <c r="U32" i="26"/>
  <c r="U28" i="26"/>
  <c r="U24" i="26"/>
  <c r="U20" i="26"/>
  <c r="U16" i="26"/>
  <c r="U63" i="26"/>
  <c r="U59" i="26"/>
  <c r="U49" i="26"/>
  <c r="U46" i="26"/>
  <c r="U30" i="26"/>
  <c r="U14" i="26"/>
  <c r="U78" i="26"/>
  <c r="U45" i="26"/>
  <c r="U42" i="26"/>
  <c r="U34" i="26"/>
  <c r="U29" i="26"/>
  <c r="U23" i="26"/>
  <c r="U18" i="26"/>
  <c r="U13" i="26"/>
  <c r="U9" i="26"/>
  <c r="U8" i="26"/>
  <c r="U25" i="26"/>
  <c r="U19" i="26"/>
  <c r="U6" i="26"/>
  <c r="U15" i="26"/>
  <c r="U27" i="26"/>
  <c r="U31" i="26"/>
  <c r="U41" i="26"/>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J4" i="10"/>
  <c r="O4" i="10" s="1"/>
  <c r="N5" i="10"/>
  <c r="N6" i="10"/>
  <c r="N7" i="10"/>
  <c r="N8" i="10"/>
  <c r="N9" i="10"/>
  <c r="N10" i="10"/>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4" i="10"/>
  <c r="M3" i="10"/>
  <c r="J24" i="23"/>
  <c r="F6" i="41" s="1"/>
  <c r="J25" i="23"/>
  <c r="F6" i="42" s="1"/>
  <c r="E27" i="24"/>
  <c r="F27" i="24"/>
  <c r="G27" i="24"/>
  <c r="H27" i="24"/>
  <c r="E28" i="24"/>
  <c r="F28" i="24"/>
  <c r="G28" i="24"/>
  <c r="H28" i="24"/>
  <c r="E29" i="24"/>
  <c r="F29" i="24"/>
  <c r="G29" i="24"/>
  <c r="H29" i="24"/>
  <c r="E30" i="24"/>
  <c r="F30" i="24"/>
  <c r="G30" i="24"/>
  <c r="H30" i="24"/>
  <c r="E31" i="24"/>
  <c r="F31" i="24"/>
  <c r="G31" i="24"/>
  <c r="H31" i="24"/>
  <c r="D28" i="24"/>
  <c r="D29" i="24"/>
  <c r="D30" i="24"/>
  <c r="D31" i="24"/>
  <c r="D9" i="24"/>
  <c r="C11" i="39" s="1" a="1"/>
  <c r="C11" i="39" s="1"/>
  <c r="C13" i="39" s="1"/>
  <c r="E9" i="24"/>
  <c r="D11" i="39" s="1" a="1"/>
  <c r="D11" i="39" s="1"/>
  <c r="D13" i="39" s="1"/>
  <c r="F9" i="24"/>
  <c r="E11" i="39" s="1" a="1"/>
  <c r="E11" i="39" s="1"/>
  <c r="E13" i="39" s="1"/>
  <c r="G9" i="24"/>
  <c r="H9" i="24"/>
  <c r="D10" i="24"/>
  <c r="C11" i="40" s="1" a="1"/>
  <c r="C11" i="40" s="1"/>
  <c r="C13" i="40" s="1"/>
  <c r="E10" i="24"/>
  <c r="D11" i="40" s="1" a="1"/>
  <c r="D11" i="40" s="1"/>
  <c r="D13" i="40" s="1"/>
  <c r="F10" i="24"/>
  <c r="E11" i="40" s="1" a="1"/>
  <c r="E11" i="40" s="1"/>
  <c r="E13" i="40" s="1"/>
  <c r="G10" i="24"/>
  <c r="F11" i="40" s="1" a="1"/>
  <c r="F11" i="40" s="1"/>
  <c r="F13" i="40" s="1"/>
  <c r="H10" i="24"/>
  <c r="G11" i="40" s="1" a="1"/>
  <c r="G11" i="40" s="1"/>
  <c r="G13" i="40" s="1"/>
  <c r="D11" i="24"/>
  <c r="E11" i="24"/>
  <c r="F11" i="24"/>
  <c r="G11" i="24"/>
  <c r="H11" i="24"/>
  <c r="G11" i="17" s="1" a="1"/>
  <c r="G11" i="17" s="1"/>
  <c r="D12" i="24"/>
  <c r="E12" i="24"/>
  <c r="F12" i="24"/>
  <c r="G12" i="24"/>
  <c r="H12" i="24"/>
  <c r="D13" i="24"/>
  <c r="E13" i="24"/>
  <c r="F13" i="24"/>
  <c r="G13" i="24"/>
  <c r="H13" i="24"/>
  <c r="D14" i="24"/>
  <c r="E14" i="24"/>
  <c r="F14" i="24"/>
  <c r="G14" i="24"/>
  <c r="H14" i="24"/>
  <c r="D15" i="24"/>
  <c r="E15" i="24"/>
  <c r="F15" i="24"/>
  <c r="G15" i="24"/>
  <c r="H15" i="24"/>
  <c r="D16" i="24"/>
  <c r="E16" i="24"/>
  <c r="F16" i="24"/>
  <c r="G16" i="24"/>
  <c r="H16" i="24"/>
  <c r="D17" i="24"/>
  <c r="E17" i="24"/>
  <c r="F17" i="24"/>
  <c r="G17" i="24"/>
  <c r="H17" i="24"/>
  <c r="D18" i="24"/>
  <c r="E18" i="24"/>
  <c r="F18" i="24"/>
  <c r="G18" i="24"/>
  <c r="H18" i="24"/>
  <c r="D19" i="24"/>
  <c r="E19" i="24"/>
  <c r="F19" i="24"/>
  <c r="G19" i="24"/>
  <c r="H19" i="24"/>
  <c r="D20" i="24"/>
  <c r="E20" i="24"/>
  <c r="F20" i="24"/>
  <c r="G20" i="24"/>
  <c r="H20" i="24"/>
  <c r="D21" i="24"/>
  <c r="E21" i="24"/>
  <c r="F21" i="24"/>
  <c r="G21" i="24"/>
  <c r="H21" i="24"/>
  <c r="D22" i="24"/>
  <c r="E22" i="24"/>
  <c r="F22" i="24"/>
  <c r="G22" i="24"/>
  <c r="H22" i="24"/>
  <c r="D23" i="24"/>
  <c r="E23" i="24"/>
  <c r="F23" i="24"/>
  <c r="G23" i="24"/>
  <c r="H23" i="24"/>
  <c r="D24" i="24"/>
  <c r="E24" i="24"/>
  <c r="F24" i="24"/>
  <c r="G24" i="24"/>
  <c r="H24" i="24"/>
  <c r="D25" i="24"/>
  <c r="E25" i="24"/>
  <c r="F25" i="24"/>
  <c r="G25" i="24"/>
  <c r="H25" i="24"/>
  <c r="D26" i="24"/>
  <c r="E26" i="24"/>
  <c r="F26" i="24"/>
  <c r="G26" i="24"/>
  <c r="H26" i="24"/>
  <c r="D27" i="24"/>
  <c r="E8" i="24"/>
  <c r="F8" i="24"/>
  <c r="G8" i="24"/>
  <c r="H8" i="24"/>
  <c r="D8" i="24"/>
  <c r="C11" i="34" s="1" a="1"/>
  <c r="C11" i="34" s="1"/>
  <c r="C13" i="34" s="1"/>
  <c r="D111" i="18"/>
  <c r="E111" i="18"/>
  <c r="F111" i="18"/>
  <c r="G111" i="18"/>
  <c r="G118" i="18"/>
  <c r="D118" i="18"/>
  <c r="E118" i="18"/>
  <c r="F118" i="18"/>
  <c r="C118" i="18"/>
  <c r="V4" i="37" s="1"/>
  <c r="D110" i="18"/>
  <c r="E110" i="18"/>
  <c r="F110" i="18"/>
  <c r="G110" i="18"/>
  <c r="C110" i="18"/>
  <c r="D44" i="10" s="1"/>
  <c r="D109" i="18"/>
  <c r="E109" i="18"/>
  <c r="F109" i="18"/>
  <c r="G109" i="18"/>
  <c r="L5"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4" i="10"/>
  <c r="C11" i="17" l="1" a="1"/>
  <c r="C11" i="17" s="1"/>
  <c r="U4" i="10"/>
  <c r="D11" i="17" a="1"/>
  <c r="D11" i="17" s="1"/>
  <c r="F11" i="17" a="1"/>
  <c r="F11" i="17" s="1"/>
  <c r="E11" i="17" a="1"/>
  <c r="E11" i="17" s="1"/>
  <c r="F11" i="39" a="1"/>
  <c r="F11" i="39" s="1"/>
  <c r="F13" i="39" s="1"/>
  <c r="G11" i="34" a="1"/>
  <c r="G11" i="34" s="1"/>
  <c r="G13" i="34" s="1"/>
  <c r="E11" i="34" a="1"/>
  <c r="E11" i="34" s="1"/>
  <c r="E13" i="34" s="1"/>
  <c r="D11" i="34" a="1"/>
  <c r="D11" i="34" s="1"/>
  <c r="D13" i="34" s="1"/>
  <c r="G11" i="39" a="1"/>
  <c r="G11" i="39" s="1"/>
  <c r="G13" i="39" s="1"/>
  <c r="F11" i="34" a="1"/>
  <c r="F11" i="34" s="1"/>
  <c r="F13" i="34" s="1"/>
  <c r="E6" i="42"/>
  <c r="C122" i="42" s="1"/>
  <c r="K25" i="23"/>
  <c r="E6" i="41"/>
  <c r="C122" i="41" s="1"/>
  <c r="K24" i="23"/>
  <c r="C133" i="33"/>
  <c r="I151" i="33" s="1"/>
  <c r="I61" i="33" s="1"/>
  <c r="E14" i="18"/>
  <c r="C130" i="18" s="1"/>
  <c r="F14" i="41"/>
  <c r="E14" i="41" s="1"/>
  <c r="C130" i="41" s="1"/>
  <c r="J11" i="22"/>
  <c r="F14" i="42"/>
  <c r="E14" i="42" s="1"/>
  <c r="C130" i="42" s="1"/>
  <c r="E6" i="18"/>
  <c r="C122" i="18" s="1"/>
  <c r="D81" i="10"/>
  <c r="D18" i="10"/>
  <c r="D42" i="10"/>
  <c r="D77" i="10"/>
  <c r="D54" i="10"/>
  <c r="D70" i="10"/>
  <c r="D55" i="10"/>
  <c r="D39" i="10"/>
  <c r="D23" i="10"/>
  <c r="D7" i="10"/>
  <c r="D72" i="10"/>
  <c r="D53" i="10"/>
  <c r="D37" i="10"/>
  <c r="D21" i="10"/>
  <c r="D5" i="10"/>
  <c r="D79" i="10"/>
  <c r="D63" i="10"/>
  <c r="D48" i="10"/>
  <c r="D32" i="10"/>
  <c r="D16" i="10"/>
  <c r="D65" i="10"/>
  <c r="D26" i="10"/>
  <c r="D61" i="10"/>
  <c r="D38" i="10"/>
  <c r="D82" i="10"/>
  <c r="D66" i="10"/>
  <c r="D51" i="10"/>
  <c r="D35" i="10"/>
  <c r="D19" i="10"/>
  <c r="D84" i="10"/>
  <c r="D68" i="10"/>
  <c r="D49" i="10"/>
  <c r="D33" i="10"/>
  <c r="D17" i="10"/>
  <c r="D75" i="10"/>
  <c r="D59" i="10"/>
  <c r="D28" i="10"/>
  <c r="D12" i="10"/>
  <c r="F110" i="42"/>
  <c r="F110" i="33"/>
  <c r="F110" i="41"/>
  <c r="C111" i="41"/>
  <c r="C111" i="42"/>
  <c r="C111" i="33"/>
  <c r="E118" i="42"/>
  <c r="E118" i="33"/>
  <c r="E118" i="41"/>
  <c r="C110" i="42"/>
  <c r="D15" i="32" s="1"/>
  <c r="C110" i="33"/>
  <c r="V60" i="30" s="1"/>
  <c r="C110" i="41"/>
  <c r="V39" i="31" s="1"/>
  <c r="D118" i="41"/>
  <c r="D118" i="42"/>
  <c r="D118" i="33"/>
  <c r="F111" i="41"/>
  <c r="F111" i="42"/>
  <c r="F111" i="33"/>
  <c r="D50" i="10"/>
  <c r="D46" i="10"/>
  <c r="D73" i="10"/>
  <c r="D10" i="10"/>
  <c r="D30" i="10"/>
  <c r="D4" i="10"/>
  <c r="D22" i="10"/>
  <c r="D78" i="10"/>
  <c r="D62" i="10"/>
  <c r="D47" i="10"/>
  <c r="D31" i="10"/>
  <c r="D15" i="10"/>
  <c r="D80" i="10"/>
  <c r="D64" i="10"/>
  <c r="D45" i="10"/>
  <c r="D29" i="10"/>
  <c r="E29" i="10" s="1"/>
  <c r="D13" i="10"/>
  <c r="D71" i="10"/>
  <c r="D56" i="10"/>
  <c r="D40" i="10"/>
  <c r="D24" i="10"/>
  <c r="D8" i="10"/>
  <c r="E109" i="41"/>
  <c r="E109" i="42"/>
  <c r="E109" i="33"/>
  <c r="F118" i="42"/>
  <c r="F118" i="33"/>
  <c r="F118" i="41"/>
  <c r="D111" i="42"/>
  <c r="D111" i="33"/>
  <c r="D111" i="41"/>
  <c r="D109" i="42"/>
  <c r="D109" i="33"/>
  <c r="D109" i="41"/>
  <c r="E110" i="41"/>
  <c r="E110" i="42"/>
  <c r="E110" i="33"/>
  <c r="G111" i="41"/>
  <c r="G111" i="42"/>
  <c r="G111" i="33"/>
  <c r="G109" i="42"/>
  <c r="G109" i="33"/>
  <c r="G109" i="41"/>
  <c r="D110" i="41"/>
  <c r="D110" i="33"/>
  <c r="D110" i="42"/>
  <c r="F109" i="41"/>
  <c r="F109" i="42"/>
  <c r="F109" i="33"/>
  <c r="G110" i="42"/>
  <c r="G110" i="33"/>
  <c r="G110" i="41"/>
  <c r="C118" i="41"/>
  <c r="C118" i="33"/>
  <c r="C118" i="42"/>
  <c r="V78" i="38"/>
  <c r="W78" i="38" s="1"/>
  <c r="X78" i="38" s="1"/>
  <c r="Y78" i="38" s="1"/>
  <c r="Z78" i="38" s="1"/>
  <c r="V76" i="38"/>
  <c r="W76" i="38" s="1"/>
  <c r="X76" i="38" s="1"/>
  <c r="Y76" i="38" s="1"/>
  <c r="Z76" i="38" s="1"/>
  <c r="V81" i="38"/>
  <c r="W81" i="38" s="1"/>
  <c r="X81" i="38" s="1"/>
  <c r="Y81" i="38" s="1"/>
  <c r="Z81" i="38" s="1"/>
  <c r="V75" i="38"/>
  <c r="W75" i="38" s="1"/>
  <c r="X75" i="38" s="1"/>
  <c r="Y75" i="38" s="1"/>
  <c r="Z75" i="38" s="1"/>
  <c r="V50" i="38"/>
  <c r="W50" i="38" s="1"/>
  <c r="X50" i="38" s="1"/>
  <c r="Y50" i="38" s="1"/>
  <c r="Z50" i="38" s="1"/>
  <c r="V38" i="38"/>
  <c r="W38" i="38" s="1"/>
  <c r="X38" i="38" s="1"/>
  <c r="Y38" i="38" s="1"/>
  <c r="Z38" i="38" s="1"/>
  <c r="V26" i="38"/>
  <c r="W26" i="38" s="1"/>
  <c r="X26" i="38" s="1"/>
  <c r="Y26" i="38" s="1"/>
  <c r="Z26" i="38" s="1"/>
  <c r="V18" i="38"/>
  <c r="W18" i="38" s="1"/>
  <c r="X18" i="38" s="1"/>
  <c r="Y18" i="38" s="1"/>
  <c r="Z18" i="38" s="1"/>
  <c r="V59" i="38"/>
  <c r="W59" i="38" s="1"/>
  <c r="X59" i="38" s="1"/>
  <c r="Y59" i="38" s="1"/>
  <c r="Z59" i="38" s="1"/>
  <c r="V47" i="38"/>
  <c r="W47" i="38" s="1"/>
  <c r="X47" i="38" s="1"/>
  <c r="Y47" i="38" s="1"/>
  <c r="Z47" i="38" s="1"/>
  <c r="V41" i="38"/>
  <c r="W41" i="38" s="1"/>
  <c r="X41" i="38" s="1"/>
  <c r="Y41" i="38" s="1"/>
  <c r="Z41" i="38" s="1"/>
  <c r="V7" i="38"/>
  <c r="W7" i="38" s="1"/>
  <c r="X7" i="38" s="1"/>
  <c r="Y7" i="38" s="1"/>
  <c r="Z7" i="38" s="1"/>
  <c r="V73" i="38"/>
  <c r="W73" i="38" s="1"/>
  <c r="X73" i="38" s="1"/>
  <c r="Y73" i="38" s="1"/>
  <c r="Z73" i="38" s="1"/>
  <c r="V33" i="38"/>
  <c r="W33" i="38" s="1"/>
  <c r="X33" i="38" s="1"/>
  <c r="Y33" i="38" s="1"/>
  <c r="Z33" i="38" s="1"/>
  <c r="V49" i="38"/>
  <c r="W49" i="38" s="1"/>
  <c r="X49" i="38" s="1"/>
  <c r="Y49" i="38" s="1"/>
  <c r="Z49" i="38" s="1"/>
  <c r="V66" i="37"/>
  <c r="W66" i="37" s="1"/>
  <c r="X66" i="37" s="1"/>
  <c r="Y66" i="37" s="1"/>
  <c r="Z66" i="37" s="1"/>
  <c r="V80" i="37"/>
  <c r="W80" i="37" s="1"/>
  <c r="X80" i="37" s="1"/>
  <c r="Y80" i="37" s="1"/>
  <c r="Z80" i="37" s="1"/>
  <c r="V61" i="37"/>
  <c r="W61" i="37" s="1"/>
  <c r="X61" i="37" s="1"/>
  <c r="Y61" i="37" s="1"/>
  <c r="Z61" i="37" s="1"/>
  <c r="V81" i="37"/>
  <c r="W81" i="37" s="1"/>
  <c r="X81" i="37" s="1"/>
  <c r="Y81" i="37" s="1"/>
  <c r="Z81" i="37" s="1"/>
  <c r="V73" i="37"/>
  <c r="W73" i="37" s="1"/>
  <c r="X73" i="37" s="1"/>
  <c r="Y73" i="37" s="1"/>
  <c r="Z73" i="37" s="1"/>
  <c r="V65" i="37"/>
  <c r="W65" i="37" s="1"/>
  <c r="X65" i="37" s="1"/>
  <c r="Y65" i="37" s="1"/>
  <c r="Z65" i="37" s="1"/>
  <c r="V9" i="37"/>
  <c r="W9" i="37" s="1"/>
  <c r="X9" i="37" s="1"/>
  <c r="Y9" i="37" s="1"/>
  <c r="Z9" i="37" s="1"/>
  <c r="V17" i="37"/>
  <c r="W17" i="37" s="1"/>
  <c r="X17" i="37" s="1"/>
  <c r="Y17" i="37" s="1"/>
  <c r="Z17" i="37" s="1"/>
  <c r="V12" i="37"/>
  <c r="W12" i="37" s="1"/>
  <c r="X12" i="37" s="1"/>
  <c r="Y12" i="37" s="1"/>
  <c r="Z12" i="37" s="1"/>
  <c r="V24" i="37"/>
  <c r="W24" i="37" s="1"/>
  <c r="X24" i="37" s="1"/>
  <c r="Y24" i="37" s="1"/>
  <c r="Z24" i="37" s="1"/>
  <c r="V64" i="38"/>
  <c r="W64" i="38" s="1"/>
  <c r="X64" i="38" s="1"/>
  <c r="Y64" i="38" s="1"/>
  <c r="Z64" i="38" s="1"/>
  <c r="V58" i="38"/>
  <c r="W58" i="38" s="1"/>
  <c r="X58" i="38" s="1"/>
  <c r="Y58" i="38" s="1"/>
  <c r="Z58" i="38" s="1"/>
  <c r="V77" i="38"/>
  <c r="W77" i="38" s="1"/>
  <c r="X77" i="38" s="1"/>
  <c r="Y77" i="38" s="1"/>
  <c r="Z77" i="38" s="1"/>
  <c r="V46" i="38"/>
  <c r="W46" i="38" s="1"/>
  <c r="X46" i="38" s="1"/>
  <c r="Y46" i="38" s="1"/>
  <c r="Z46" i="38" s="1"/>
  <c r="V79" i="38"/>
  <c r="W79" i="38" s="1"/>
  <c r="X79" i="38" s="1"/>
  <c r="Y79" i="38" s="1"/>
  <c r="Z79" i="38" s="1"/>
  <c r="V6" i="38"/>
  <c r="W6" i="38" s="1"/>
  <c r="X6" i="38" s="1"/>
  <c r="Y6" i="38" s="1"/>
  <c r="Z6" i="38" s="1"/>
  <c r="V14" i="38"/>
  <c r="W14" i="38" s="1"/>
  <c r="X14" i="38" s="1"/>
  <c r="Y14" i="38" s="1"/>
  <c r="Z14" i="38" s="1"/>
  <c r="V37" i="37"/>
  <c r="W37" i="37" s="1"/>
  <c r="X37" i="37" s="1"/>
  <c r="Y37" i="37" s="1"/>
  <c r="Z37" i="37" s="1"/>
  <c r="V10" i="37"/>
  <c r="W10" i="37" s="1"/>
  <c r="X10" i="37" s="1"/>
  <c r="Y10" i="37" s="1"/>
  <c r="Z10" i="37" s="1"/>
  <c r="V42" i="37"/>
  <c r="W42" i="37" s="1"/>
  <c r="X42" i="37" s="1"/>
  <c r="Y42" i="37" s="1"/>
  <c r="Z42" i="37" s="1"/>
  <c r="V83" i="38"/>
  <c r="W83" i="38" s="1"/>
  <c r="X83" i="38" s="1"/>
  <c r="Y83" i="38" s="1"/>
  <c r="Z83" i="38" s="1"/>
  <c r="V67" i="38"/>
  <c r="W67" i="38" s="1"/>
  <c r="X67" i="38" s="1"/>
  <c r="Y67" i="38" s="1"/>
  <c r="Z67" i="38" s="1"/>
  <c r="V22" i="38"/>
  <c r="W22" i="38" s="1"/>
  <c r="X22" i="38" s="1"/>
  <c r="Y22" i="38" s="1"/>
  <c r="Z22" i="38" s="1"/>
  <c r="V53" i="38"/>
  <c r="W53" i="38" s="1"/>
  <c r="X53" i="38" s="1"/>
  <c r="Y53" i="38" s="1"/>
  <c r="Z53" i="38" s="1"/>
  <c r="V51" i="38"/>
  <c r="W51" i="38" s="1"/>
  <c r="X51" i="38" s="1"/>
  <c r="Y51" i="38" s="1"/>
  <c r="Z51" i="38" s="1"/>
  <c r="V12" i="38"/>
  <c r="W12" i="38" s="1"/>
  <c r="X12" i="38" s="1"/>
  <c r="Y12" i="38" s="1"/>
  <c r="Z12" i="38" s="1"/>
  <c r="V24" i="38"/>
  <c r="W24" i="38" s="1"/>
  <c r="X24" i="38" s="1"/>
  <c r="Y24" i="38" s="1"/>
  <c r="Z24" i="38" s="1"/>
  <c r="V17" i="38"/>
  <c r="W17" i="38" s="1"/>
  <c r="X17" i="38" s="1"/>
  <c r="Y17" i="38" s="1"/>
  <c r="Z17" i="38" s="1"/>
  <c r="V82" i="37"/>
  <c r="W82" i="37" s="1"/>
  <c r="X82" i="37" s="1"/>
  <c r="Y82" i="37" s="1"/>
  <c r="Z82" i="37" s="1"/>
  <c r="V64" i="37"/>
  <c r="W64" i="37" s="1"/>
  <c r="X64" i="37" s="1"/>
  <c r="Y64" i="37" s="1"/>
  <c r="Z64" i="37" s="1"/>
  <c r="V77" i="37"/>
  <c r="W77" i="37" s="1"/>
  <c r="X77" i="37" s="1"/>
  <c r="Y77" i="37" s="1"/>
  <c r="Z77" i="37" s="1"/>
  <c r="V69" i="37"/>
  <c r="W69" i="37" s="1"/>
  <c r="X69" i="37" s="1"/>
  <c r="Y69" i="37" s="1"/>
  <c r="Z69" i="37" s="1"/>
  <c r="V39" i="37"/>
  <c r="W39" i="37" s="1"/>
  <c r="X39" i="37" s="1"/>
  <c r="Y39" i="37" s="1"/>
  <c r="Z39" i="37" s="1"/>
  <c r="V36" i="37"/>
  <c r="W36" i="37" s="1"/>
  <c r="X36" i="37" s="1"/>
  <c r="Y36" i="37" s="1"/>
  <c r="Z36" i="37" s="1"/>
  <c r="V13" i="37"/>
  <c r="W13" i="37" s="1"/>
  <c r="X13" i="37" s="1"/>
  <c r="Y13" i="37" s="1"/>
  <c r="Z13" i="37" s="1"/>
  <c r="V34" i="37"/>
  <c r="W34" i="37" s="1"/>
  <c r="X34" i="37" s="1"/>
  <c r="Y34" i="37" s="1"/>
  <c r="Z34" i="37" s="1"/>
  <c r="V7" i="37"/>
  <c r="W7" i="37" s="1"/>
  <c r="X7" i="37" s="1"/>
  <c r="Y7" i="37" s="1"/>
  <c r="Z7" i="37" s="1"/>
  <c r="V28" i="37"/>
  <c r="W28" i="37" s="1"/>
  <c r="X28" i="37" s="1"/>
  <c r="Y28" i="37" s="1"/>
  <c r="Z28" i="37" s="1"/>
  <c r="V53" i="37"/>
  <c r="W53" i="37" s="1"/>
  <c r="X53" i="37" s="1"/>
  <c r="Y53" i="37" s="1"/>
  <c r="Z53" i="37" s="1"/>
  <c r="V44" i="37"/>
  <c r="W44" i="37" s="1"/>
  <c r="X44" i="37" s="1"/>
  <c r="Y44" i="37" s="1"/>
  <c r="Z44" i="37" s="1"/>
  <c r="V8" i="37"/>
  <c r="W8" i="37" s="1"/>
  <c r="X8" i="37" s="1"/>
  <c r="Y8" i="37" s="1"/>
  <c r="Z8" i="37" s="1"/>
  <c r="V31" i="37"/>
  <c r="W31" i="37" s="1"/>
  <c r="X31" i="37" s="1"/>
  <c r="Y31" i="37" s="1"/>
  <c r="Z31" i="37" s="1"/>
  <c r="V25" i="38"/>
  <c r="W25" i="38" s="1"/>
  <c r="X25" i="38" s="1"/>
  <c r="Y25" i="38" s="1"/>
  <c r="Z25" i="38" s="1"/>
  <c r="V52" i="37"/>
  <c r="W52" i="37" s="1"/>
  <c r="X52" i="37" s="1"/>
  <c r="Y52" i="37" s="1"/>
  <c r="Z52" i="37" s="1"/>
  <c r="V51" i="37"/>
  <c r="W51" i="37" s="1"/>
  <c r="X51" i="37" s="1"/>
  <c r="Y51" i="37" s="1"/>
  <c r="Z51" i="37" s="1"/>
  <c r="V15" i="37"/>
  <c r="W15" i="37" s="1"/>
  <c r="X15" i="37" s="1"/>
  <c r="Y15" i="37" s="1"/>
  <c r="Z15" i="37" s="1"/>
  <c r="V70" i="38"/>
  <c r="W70" i="38" s="1"/>
  <c r="X70" i="38" s="1"/>
  <c r="Y70" i="38" s="1"/>
  <c r="Z70" i="38" s="1"/>
  <c r="V68" i="38"/>
  <c r="W68" i="38" s="1"/>
  <c r="X68" i="38" s="1"/>
  <c r="Y68" i="38" s="1"/>
  <c r="Z68" i="38" s="1"/>
  <c r="V69" i="38"/>
  <c r="W69" i="38" s="1"/>
  <c r="X69" i="38" s="1"/>
  <c r="Y69" i="38" s="1"/>
  <c r="Z69" i="38" s="1"/>
  <c r="V71" i="38"/>
  <c r="W71" i="38" s="1"/>
  <c r="X71" i="38" s="1"/>
  <c r="Y71" i="38" s="1"/>
  <c r="Z71" i="38" s="1"/>
  <c r="V65" i="38"/>
  <c r="W65" i="38" s="1"/>
  <c r="X65" i="38" s="1"/>
  <c r="Y65" i="38" s="1"/>
  <c r="Z65" i="38" s="1"/>
  <c r="V31" i="38"/>
  <c r="W31" i="38" s="1"/>
  <c r="X31" i="38" s="1"/>
  <c r="Y31" i="38" s="1"/>
  <c r="Z31" i="38" s="1"/>
  <c r="V20" i="38"/>
  <c r="W20" i="38" s="1"/>
  <c r="X20" i="38" s="1"/>
  <c r="Y20" i="38" s="1"/>
  <c r="Z20" i="38" s="1"/>
  <c r="V10" i="38"/>
  <c r="W10" i="38" s="1"/>
  <c r="X10" i="38" s="1"/>
  <c r="Y10" i="38" s="1"/>
  <c r="Z10" i="38" s="1"/>
  <c r="V55" i="38"/>
  <c r="W55" i="38" s="1"/>
  <c r="X55" i="38" s="1"/>
  <c r="Y55" i="38" s="1"/>
  <c r="Z55" i="38" s="1"/>
  <c r="V35" i="38"/>
  <c r="W35" i="38" s="1"/>
  <c r="X35" i="38" s="1"/>
  <c r="Y35" i="38" s="1"/>
  <c r="Z35" i="38" s="1"/>
  <c r="V4" i="38"/>
  <c r="W4" i="38" s="1"/>
  <c r="X4" i="38" s="1"/>
  <c r="Y4" i="38" s="1"/>
  <c r="Z4" i="38" s="1"/>
  <c r="V72" i="37"/>
  <c r="W72" i="37" s="1"/>
  <c r="X72" i="37" s="1"/>
  <c r="Y72" i="37" s="1"/>
  <c r="Z72" i="37" s="1"/>
  <c r="V54" i="37"/>
  <c r="W54" i="37" s="1"/>
  <c r="X54" i="37" s="1"/>
  <c r="Y54" i="37" s="1"/>
  <c r="Z54" i="37" s="1"/>
  <c r="V47" i="37"/>
  <c r="W47" i="37" s="1"/>
  <c r="X47" i="37" s="1"/>
  <c r="Y47" i="37" s="1"/>
  <c r="Z47" i="37" s="1"/>
  <c r="V25" i="37"/>
  <c r="W25" i="37" s="1"/>
  <c r="X25" i="37" s="1"/>
  <c r="Y25" i="37" s="1"/>
  <c r="Z25" i="37" s="1"/>
  <c r="V45" i="38"/>
  <c r="W45" i="38" s="1"/>
  <c r="X45" i="38" s="1"/>
  <c r="Y45" i="38" s="1"/>
  <c r="Z45" i="38" s="1"/>
  <c r="V74" i="37"/>
  <c r="W74" i="37" s="1"/>
  <c r="X74" i="37" s="1"/>
  <c r="Y74" i="37" s="1"/>
  <c r="Z74" i="37" s="1"/>
  <c r="V55" i="37"/>
  <c r="W55" i="37" s="1"/>
  <c r="X55" i="37" s="1"/>
  <c r="Y55" i="37" s="1"/>
  <c r="Z55" i="37" s="1"/>
  <c r="V29" i="37"/>
  <c r="W29" i="37" s="1"/>
  <c r="X29" i="37" s="1"/>
  <c r="Y29" i="37" s="1"/>
  <c r="Z29" i="37" s="1"/>
  <c r="V67" i="37"/>
  <c r="W67" i="37" s="1"/>
  <c r="X67" i="37" s="1"/>
  <c r="Y67" i="37" s="1"/>
  <c r="Z67" i="37" s="1"/>
  <c r="V35" i="37"/>
  <c r="W35" i="37" s="1"/>
  <c r="X35" i="37" s="1"/>
  <c r="Y35" i="37" s="1"/>
  <c r="Z35" i="37" s="1"/>
  <c r="V76" i="37"/>
  <c r="W76" i="37" s="1"/>
  <c r="X76" i="37" s="1"/>
  <c r="Y76" i="37" s="1"/>
  <c r="Z76" i="37" s="1"/>
  <c r="V78" i="37"/>
  <c r="W78" i="37" s="1"/>
  <c r="X78" i="37" s="1"/>
  <c r="Y78" i="37" s="1"/>
  <c r="Z78" i="37" s="1"/>
  <c r="V43" i="38"/>
  <c r="W43" i="38" s="1"/>
  <c r="X43" i="38" s="1"/>
  <c r="Y43" i="38" s="1"/>
  <c r="Z43" i="38" s="1"/>
  <c r="V66" i="38"/>
  <c r="W66" i="38" s="1"/>
  <c r="X66" i="38" s="1"/>
  <c r="Y66" i="38" s="1"/>
  <c r="Z66" i="38" s="1"/>
  <c r="V20" i="37"/>
  <c r="W20" i="37" s="1"/>
  <c r="X20" i="37" s="1"/>
  <c r="Y20" i="37" s="1"/>
  <c r="Z20" i="37" s="1"/>
  <c r="V62" i="38"/>
  <c r="W62" i="38" s="1"/>
  <c r="X62" i="38" s="1"/>
  <c r="Y62" i="38" s="1"/>
  <c r="Z62" i="38" s="1"/>
  <c r="V16" i="37"/>
  <c r="W16" i="37" s="1"/>
  <c r="X16" i="37" s="1"/>
  <c r="Y16" i="37" s="1"/>
  <c r="Z16" i="37" s="1"/>
  <c r="V30" i="37"/>
  <c r="W30" i="37" s="1"/>
  <c r="X30" i="37" s="1"/>
  <c r="Y30" i="37" s="1"/>
  <c r="Z30" i="37" s="1"/>
  <c r="V62" i="37"/>
  <c r="W62" i="37" s="1"/>
  <c r="X62" i="37" s="1"/>
  <c r="Y62" i="37" s="1"/>
  <c r="Z62" i="37" s="1"/>
  <c r="V36" i="38"/>
  <c r="W36" i="38" s="1"/>
  <c r="X36" i="38" s="1"/>
  <c r="Y36" i="38" s="1"/>
  <c r="Z36" i="38" s="1"/>
  <c r="V13" i="38"/>
  <c r="W13" i="38" s="1"/>
  <c r="X13" i="38" s="1"/>
  <c r="Y13" i="38" s="1"/>
  <c r="Z13" i="38" s="1"/>
  <c r="V56" i="38"/>
  <c r="W56" i="38" s="1"/>
  <c r="X56" i="38" s="1"/>
  <c r="Y56" i="38" s="1"/>
  <c r="Z56" i="38" s="1"/>
  <c r="V14" i="37"/>
  <c r="W14" i="37" s="1"/>
  <c r="X14" i="37" s="1"/>
  <c r="Y14" i="37" s="1"/>
  <c r="Z14" i="37" s="1"/>
  <c r="V42" i="38"/>
  <c r="W42" i="38" s="1"/>
  <c r="X42" i="38" s="1"/>
  <c r="Y42" i="38" s="1"/>
  <c r="Z42" i="38" s="1"/>
  <c r="V74" i="38"/>
  <c r="W74" i="38" s="1"/>
  <c r="X74" i="38" s="1"/>
  <c r="Y74" i="38" s="1"/>
  <c r="Z74" i="38" s="1"/>
  <c r="V6" i="37"/>
  <c r="W6" i="37" s="1"/>
  <c r="X6" i="37" s="1"/>
  <c r="Y6" i="37" s="1"/>
  <c r="Z6" i="37" s="1"/>
  <c r="V43" i="37"/>
  <c r="W43" i="37" s="1"/>
  <c r="X43" i="37" s="1"/>
  <c r="Y43" i="37" s="1"/>
  <c r="Z43" i="37" s="1"/>
  <c r="V16" i="38"/>
  <c r="W16" i="38" s="1"/>
  <c r="X16" i="38" s="1"/>
  <c r="Y16" i="38" s="1"/>
  <c r="Z16" i="38" s="1"/>
  <c r="V30" i="38"/>
  <c r="W30" i="38" s="1"/>
  <c r="X30" i="38" s="1"/>
  <c r="Y30" i="38" s="1"/>
  <c r="Z30" i="38" s="1"/>
  <c r="V48" i="38"/>
  <c r="W48" i="38" s="1"/>
  <c r="X48" i="38" s="1"/>
  <c r="Y48" i="38" s="1"/>
  <c r="Z48" i="38" s="1"/>
  <c r="V38" i="37"/>
  <c r="W38" i="37" s="1"/>
  <c r="X38" i="37" s="1"/>
  <c r="Y38" i="37" s="1"/>
  <c r="Z38" i="37" s="1"/>
  <c r="V58" i="37"/>
  <c r="W58" i="37" s="1"/>
  <c r="X58" i="37" s="1"/>
  <c r="Y58" i="37" s="1"/>
  <c r="Z58" i="37" s="1"/>
  <c r="V44" i="38"/>
  <c r="W44" i="38" s="1"/>
  <c r="X44" i="38" s="1"/>
  <c r="Y44" i="38" s="1"/>
  <c r="Z44" i="38" s="1"/>
  <c r="V52" i="38"/>
  <c r="W52" i="38" s="1"/>
  <c r="X52" i="38" s="1"/>
  <c r="Y52" i="38" s="1"/>
  <c r="Z52" i="38" s="1"/>
  <c r="V82" i="38"/>
  <c r="W82" i="38" s="1"/>
  <c r="X82" i="38" s="1"/>
  <c r="Y82" i="38" s="1"/>
  <c r="Z82" i="38" s="1"/>
  <c r="V79" i="37"/>
  <c r="W79" i="37" s="1"/>
  <c r="X79" i="37" s="1"/>
  <c r="Y79" i="37" s="1"/>
  <c r="Z79" i="37" s="1"/>
  <c r="V41" i="37"/>
  <c r="W41" i="37" s="1"/>
  <c r="X41" i="37" s="1"/>
  <c r="Y41" i="37" s="1"/>
  <c r="Z41" i="37" s="1"/>
  <c r="V32" i="37"/>
  <c r="W32" i="37" s="1"/>
  <c r="X32" i="37" s="1"/>
  <c r="Y32" i="37" s="1"/>
  <c r="Z32" i="37" s="1"/>
  <c r="V22" i="37"/>
  <c r="W22" i="37" s="1"/>
  <c r="X22" i="37" s="1"/>
  <c r="Y22" i="37" s="1"/>
  <c r="Z22" i="37" s="1"/>
  <c r="V84" i="37"/>
  <c r="W84" i="37" s="1"/>
  <c r="X84" i="37" s="1"/>
  <c r="Y84" i="37" s="1"/>
  <c r="Z84" i="37" s="1"/>
  <c r="V54" i="38"/>
  <c r="W54" i="38" s="1"/>
  <c r="X54" i="38" s="1"/>
  <c r="Y54" i="38" s="1"/>
  <c r="Z54" i="38" s="1"/>
  <c r="V27" i="38"/>
  <c r="W27" i="38" s="1"/>
  <c r="X27" i="38" s="1"/>
  <c r="Y27" i="38" s="1"/>
  <c r="Z27" i="38" s="1"/>
  <c r="V57" i="38"/>
  <c r="W57" i="38" s="1"/>
  <c r="X57" i="38" s="1"/>
  <c r="Y57" i="38" s="1"/>
  <c r="Z57" i="38" s="1"/>
  <c r="V56" i="37"/>
  <c r="W56" i="37" s="1"/>
  <c r="X56" i="37" s="1"/>
  <c r="Y56" i="37" s="1"/>
  <c r="Z56" i="37" s="1"/>
  <c r="V28" i="38"/>
  <c r="W28" i="38" s="1"/>
  <c r="X28" i="38" s="1"/>
  <c r="Y28" i="38" s="1"/>
  <c r="Z28" i="38" s="1"/>
  <c r="V80" i="38"/>
  <c r="W80" i="38" s="1"/>
  <c r="X80" i="38" s="1"/>
  <c r="Y80" i="38" s="1"/>
  <c r="Z80" i="38" s="1"/>
  <c r="V45" i="37"/>
  <c r="W45" i="37" s="1"/>
  <c r="X45" i="37" s="1"/>
  <c r="Y45" i="37" s="1"/>
  <c r="Z45" i="37" s="1"/>
  <c r="V46" i="37"/>
  <c r="W46" i="37" s="1"/>
  <c r="X46" i="37" s="1"/>
  <c r="Y46" i="37" s="1"/>
  <c r="Z46" i="37" s="1"/>
  <c r="V34" i="38"/>
  <c r="W34" i="38" s="1"/>
  <c r="X34" i="38" s="1"/>
  <c r="Y34" i="38" s="1"/>
  <c r="Z34" i="38" s="1"/>
  <c r="V61" i="38"/>
  <c r="W61" i="38" s="1"/>
  <c r="X61" i="38" s="1"/>
  <c r="Y61" i="38" s="1"/>
  <c r="Z61" i="38" s="1"/>
  <c r="V37" i="38"/>
  <c r="W37" i="38" s="1"/>
  <c r="X37" i="38" s="1"/>
  <c r="Y37" i="38" s="1"/>
  <c r="Z37" i="38" s="1"/>
  <c r="V59" i="37"/>
  <c r="W59" i="37" s="1"/>
  <c r="X59" i="37" s="1"/>
  <c r="Y59" i="37" s="1"/>
  <c r="Z59" i="37" s="1"/>
  <c r="V63" i="37"/>
  <c r="W63" i="37" s="1"/>
  <c r="X63" i="37" s="1"/>
  <c r="Y63" i="37" s="1"/>
  <c r="Z63" i="37" s="1"/>
  <c r="V23" i="38"/>
  <c r="W23" i="38" s="1"/>
  <c r="X23" i="38" s="1"/>
  <c r="Y23" i="38" s="1"/>
  <c r="Z23" i="38" s="1"/>
  <c r="V21" i="38"/>
  <c r="W21" i="38" s="1"/>
  <c r="X21" i="38" s="1"/>
  <c r="Y21" i="38" s="1"/>
  <c r="Z21" i="38" s="1"/>
  <c r="V84" i="38"/>
  <c r="W84" i="38" s="1"/>
  <c r="X84" i="38" s="1"/>
  <c r="Y84" i="38" s="1"/>
  <c r="Z84" i="38" s="1"/>
  <c r="V8" i="38"/>
  <c r="W8" i="38" s="1"/>
  <c r="X8" i="38" s="1"/>
  <c r="Y8" i="38" s="1"/>
  <c r="Z8" i="38" s="1"/>
  <c r="V11" i="37"/>
  <c r="W11" i="37" s="1"/>
  <c r="X11" i="37" s="1"/>
  <c r="Y11" i="37" s="1"/>
  <c r="Z11" i="37" s="1"/>
  <c r="V19" i="37"/>
  <c r="W19" i="37" s="1"/>
  <c r="X19" i="37" s="1"/>
  <c r="Y19" i="37" s="1"/>
  <c r="Z19" i="37" s="1"/>
  <c r="V50" i="37"/>
  <c r="W50" i="37" s="1"/>
  <c r="X50" i="37" s="1"/>
  <c r="Y50" i="37" s="1"/>
  <c r="Z50" i="37" s="1"/>
  <c r="V57" i="37"/>
  <c r="W57" i="37" s="1"/>
  <c r="X57" i="37" s="1"/>
  <c r="Y57" i="37" s="1"/>
  <c r="Z57" i="37" s="1"/>
  <c r="V39" i="38"/>
  <c r="W39" i="38" s="1"/>
  <c r="X39" i="38" s="1"/>
  <c r="Y39" i="38" s="1"/>
  <c r="Z39" i="38" s="1"/>
  <c r="V5" i="38"/>
  <c r="W5" i="38" s="1"/>
  <c r="X5" i="38" s="1"/>
  <c r="Y5" i="38" s="1"/>
  <c r="Z5" i="38" s="1"/>
  <c r="V63" i="38"/>
  <c r="W63" i="38" s="1"/>
  <c r="X63" i="38" s="1"/>
  <c r="Y63" i="38" s="1"/>
  <c r="Z63" i="38" s="1"/>
  <c r="V49" i="37"/>
  <c r="W49" i="37" s="1"/>
  <c r="X49" i="37" s="1"/>
  <c r="Y49" i="37" s="1"/>
  <c r="Z49" i="37" s="1"/>
  <c r="V15" i="38"/>
  <c r="W15" i="38" s="1"/>
  <c r="X15" i="38" s="1"/>
  <c r="Y15" i="38" s="1"/>
  <c r="Z15" i="38" s="1"/>
  <c r="W4" i="37"/>
  <c r="V21" i="37"/>
  <c r="W21" i="37" s="1"/>
  <c r="X21" i="37" s="1"/>
  <c r="Y21" i="37" s="1"/>
  <c r="Z21" i="37" s="1"/>
  <c r="V60" i="37"/>
  <c r="W60" i="37" s="1"/>
  <c r="X60" i="37" s="1"/>
  <c r="Y60" i="37" s="1"/>
  <c r="Z60" i="37" s="1"/>
  <c r="V9" i="38"/>
  <c r="W9" i="38" s="1"/>
  <c r="X9" i="38" s="1"/>
  <c r="Y9" i="38" s="1"/>
  <c r="Z9" i="38" s="1"/>
  <c r="V23" i="37"/>
  <c r="W23" i="37" s="1"/>
  <c r="X23" i="37" s="1"/>
  <c r="Y23" i="37" s="1"/>
  <c r="Z23" i="37" s="1"/>
  <c r="V68" i="37"/>
  <c r="W68" i="37" s="1"/>
  <c r="X68" i="37" s="1"/>
  <c r="Y68" i="37" s="1"/>
  <c r="Z68" i="37" s="1"/>
  <c r="V83" i="37"/>
  <c r="W83" i="37" s="1"/>
  <c r="X83" i="37" s="1"/>
  <c r="Y83" i="37" s="1"/>
  <c r="Z83" i="37" s="1"/>
  <c r="V11" i="38"/>
  <c r="W11" i="38" s="1"/>
  <c r="X11" i="38" s="1"/>
  <c r="Y11" i="38" s="1"/>
  <c r="Z11" i="38" s="1"/>
  <c r="V29" i="38"/>
  <c r="W29" i="38" s="1"/>
  <c r="X29" i="38" s="1"/>
  <c r="Y29" i="38" s="1"/>
  <c r="Z29" i="38" s="1"/>
  <c r="V5" i="37"/>
  <c r="W5" i="37" s="1"/>
  <c r="X5" i="37" s="1"/>
  <c r="Y5" i="37" s="1"/>
  <c r="Z5" i="37" s="1"/>
  <c r="V32" i="38"/>
  <c r="W32" i="38" s="1"/>
  <c r="X32" i="38" s="1"/>
  <c r="Y32" i="38" s="1"/>
  <c r="Z32" i="38" s="1"/>
  <c r="V26" i="37"/>
  <c r="W26" i="37" s="1"/>
  <c r="X26" i="37" s="1"/>
  <c r="Y26" i="37" s="1"/>
  <c r="Z26" i="37" s="1"/>
  <c r="V18" i="37"/>
  <c r="W18" i="37" s="1"/>
  <c r="X18" i="37" s="1"/>
  <c r="Y18" i="37" s="1"/>
  <c r="Z18" i="37" s="1"/>
  <c r="V48" i="37"/>
  <c r="W48" i="37" s="1"/>
  <c r="X48" i="37" s="1"/>
  <c r="Y48" i="37" s="1"/>
  <c r="Z48" i="37" s="1"/>
  <c r="V75" i="37"/>
  <c r="W75" i="37" s="1"/>
  <c r="X75" i="37" s="1"/>
  <c r="Y75" i="37" s="1"/>
  <c r="Z75" i="37" s="1"/>
  <c r="V60" i="38"/>
  <c r="W60" i="38" s="1"/>
  <c r="X60" i="38" s="1"/>
  <c r="Y60" i="38" s="1"/>
  <c r="Z60" i="38" s="1"/>
  <c r="V72" i="38"/>
  <c r="W72" i="38" s="1"/>
  <c r="X72" i="38" s="1"/>
  <c r="Y72" i="38" s="1"/>
  <c r="Z72" i="38" s="1"/>
  <c r="V27" i="37"/>
  <c r="W27" i="37" s="1"/>
  <c r="X27" i="37" s="1"/>
  <c r="Y27" i="37" s="1"/>
  <c r="Z27" i="37" s="1"/>
  <c r="V70" i="37"/>
  <c r="W70" i="37" s="1"/>
  <c r="X70" i="37" s="1"/>
  <c r="Y70" i="37" s="1"/>
  <c r="Z70" i="37" s="1"/>
  <c r="V40" i="38"/>
  <c r="W40" i="38" s="1"/>
  <c r="X40" i="38" s="1"/>
  <c r="Y40" i="38" s="1"/>
  <c r="Z40" i="38" s="1"/>
  <c r="V33" i="37"/>
  <c r="W33" i="37" s="1"/>
  <c r="X33" i="37" s="1"/>
  <c r="Y33" i="37" s="1"/>
  <c r="Z33" i="37" s="1"/>
  <c r="V40" i="37"/>
  <c r="W40" i="37" s="1"/>
  <c r="X40" i="37" s="1"/>
  <c r="Y40" i="37" s="1"/>
  <c r="Z40" i="37" s="1"/>
  <c r="V71" i="37"/>
  <c r="W71" i="37" s="1"/>
  <c r="X71" i="37" s="1"/>
  <c r="Y71" i="37" s="1"/>
  <c r="Z71" i="37" s="1"/>
  <c r="V19" i="38"/>
  <c r="W19" i="38" s="1"/>
  <c r="X19" i="38" s="1"/>
  <c r="Y19" i="38" s="1"/>
  <c r="Z19" i="38" s="1"/>
  <c r="V71" i="36"/>
  <c r="W71" i="36" s="1"/>
  <c r="X71" i="36" s="1"/>
  <c r="Y71" i="36" s="1"/>
  <c r="Z71" i="36" s="1"/>
  <c r="V81" i="36"/>
  <c r="W81" i="36" s="1"/>
  <c r="X81" i="36" s="1"/>
  <c r="Y81" i="36" s="1"/>
  <c r="Z81" i="36" s="1"/>
  <c r="V73" i="36"/>
  <c r="W73" i="36" s="1"/>
  <c r="X73" i="36" s="1"/>
  <c r="Y73" i="36" s="1"/>
  <c r="Z73" i="36" s="1"/>
  <c r="V72" i="36"/>
  <c r="W72" i="36" s="1"/>
  <c r="X72" i="36" s="1"/>
  <c r="Y72" i="36" s="1"/>
  <c r="Z72" i="36" s="1"/>
  <c r="V49" i="36"/>
  <c r="W49" i="36" s="1"/>
  <c r="X49" i="36" s="1"/>
  <c r="Y49" i="36" s="1"/>
  <c r="Z49" i="36" s="1"/>
  <c r="V37" i="36"/>
  <c r="W37" i="36" s="1"/>
  <c r="X37" i="36" s="1"/>
  <c r="Y37" i="36" s="1"/>
  <c r="Z37" i="36" s="1"/>
  <c r="V84" i="36"/>
  <c r="W84" i="36" s="1"/>
  <c r="X84" i="36" s="1"/>
  <c r="Y84" i="36" s="1"/>
  <c r="Z84" i="36" s="1"/>
  <c r="V68" i="36"/>
  <c r="W68" i="36" s="1"/>
  <c r="X68" i="36" s="1"/>
  <c r="Y68" i="36" s="1"/>
  <c r="Z68" i="36" s="1"/>
  <c r="V64" i="36"/>
  <c r="W64" i="36" s="1"/>
  <c r="X64" i="36" s="1"/>
  <c r="Y64" i="36" s="1"/>
  <c r="Z64" i="36" s="1"/>
  <c r="V36" i="36"/>
  <c r="W36" i="36" s="1"/>
  <c r="X36" i="36" s="1"/>
  <c r="Y36" i="36" s="1"/>
  <c r="Z36" i="36" s="1"/>
  <c r="V38" i="36"/>
  <c r="W38" i="36" s="1"/>
  <c r="X38" i="36" s="1"/>
  <c r="Y38" i="36" s="1"/>
  <c r="Z38" i="36" s="1"/>
  <c r="V44" i="36"/>
  <c r="W44" i="36" s="1"/>
  <c r="X44" i="36" s="1"/>
  <c r="Y44" i="36" s="1"/>
  <c r="Z44" i="36" s="1"/>
  <c r="V40" i="36"/>
  <c r="W40" i="36" s="1"/>
  <c r="X40" i="36" s="1"/>
  <c r="Y40" i="36" s="1"/>
  <c r="Z40" i="36" s="1"/>
  <c r="V28" i="36"/>
  <c r="W28" i="36" s="1"/>
  <c r="X28" i="36" s="1"/>
  <c r="Y28" i="36" s="1"/>
  <c r="Z28" i="36" s="1"/>
  <c r="V18" i="36"/>
  <c r="W18" i="36" s="1"/>
  <c r="X18" i="36" s="1"/>
  <c r="Y18" i="36" s="1"/>
  <c r="Z18" i="36" s="1"/>
  <c r="V26" i="36"/>
  <c r="W26" i="36" s="1"/>
  <c r="X26" i="36" s="1"/>
  <c r="Y26" i="36" s="1"/>
  <c r="Z26" i="36" s="1"/>
  <c r="V20" i="36"/>
  <c r="W20" i="36" s="1"/>
  <c r="X20" i="36" s="1"/>
  <c r="Y20" i="36" s="1"/>
  <c r="Z20" i="36" s="1"/>
  <c r="V21" i="36"/>
  <c r="W21" i="36" s="1"/>
  <c r="X21" i="36" s="1"/>
  <c r="Y21" i="36" s="1"/>
  <c r="Z21" i="36" s="1"/>
  <c r="V13" i="36"/>
  <c r="W13" i="36" s="1"/>
  <c r="X13" i="36" s="1"/>
  <c r="Y13" i="36" s="1"/>
  <c r="Z13" i="36" s="1"/>
  <c r="V11" i="36"/>
  <c r="W11" i="36" s="1"/>
  <c r="X11" i="36" s="1"/>
  <c r="Y11" i="36" s="1"/>
  <c r="Z11" i="36" s="1"/>
  <c r="V52" i="36"/>
  <c r="W52" i="36" s="1"/>
  <c r="X52" i="36" s="1"/>
  <c r="Y52" i="36" s="1"/>
  <c r="Z52" i="36" s="1"/>
  <c r="V57" i="36"/>
  <c r="W57" i="36" s="1"/>
  <c r="X57" i="36" s="1"/>
  <c r="Y57" i="36" s="1"/>
  <c r="Z57" i="36" s="1"/>
  <c r="V55" i="36"/>
  <c r="W55" i="36" s="1"/>
  <c r="X55" i="36" s="1"/>
  <c r="Y55" i="36" s="1"/>
  <c r="Z55" i="36" s="1"/>
  <c r="V51" i="36"/>
  <c r="W51" i="36" s="1"/>
  <c r="X51" i="36" s="1"/>
  <c r="Y51" i="36" s="1"/>
  <c r="Z51" i="36" s="1"/>
  <c r="V4" i="36"/>
  <c r="W4" i="36" s="1"/>
  <c r="X4" i="36" s="1"/>
  <c r="Y4" i="36" s="1"/>
  <c r="Z4" i="36" s="1"/>
  <c r="V59" i="36"/>
  <c r="W59" i="36" s="1"/>
  <c r="X59" i="36" s="1"/>
  <c r="Y59" i="36" s="1"/>
  <c r="Z59" i="36" s="1"/>
  <c r="V8" i="36"/>
  <c r="W8" i="36" s="1"/>
  <c r="X8" i="36" s="1"/>
  <c r="Y8" i="36" s="1"/>
  <c r="Z8" i="36" s="1"/>
  <c r="V6" i="36"/>
  <c r="W6" i="36" s="1"/>
  <c r="X6" i="36" s="1"/>
  <c r="Y6" i="36" s="1"/>
  <c r="Z6" i="36" s="1"/>
  <c r="V77" i="36"/>
  <c r="W77" i="36" s="1"/>
  <c r="X77" i="36" s="1"/>
  <c r="Y77" i="36" s="1"/>
  <c r="Z77" i="36" s="1"/>
  <c r="V69" i="36"/>
  <c r="W69" i="36" s="1"/>
  <c r="X69" i="36" s="1"/>
  <c r="Y69" i="36" s="1"/>
  <c r="Z69" i="36" s="1"/>
  <c r="V60" i="36"/>
  <c r="W60" i="36" s="1"/>
  <c r="X60" i="36" s="1"/>
  <c r="Y60" i="36" s="1"/>
  <c r="Z60" i="36" s="1"/>
  <c r="V66" i="36"/>
  <c r="W66" i="36" s="1"/>
  <c r="X66" i="36" s="1"/>
  <c r="Y66" i="36" s="1"/>
  <c r="Z66" i="36" s="1"/>
  <c r="V33" i="36"/>
  <c r="W33" i="36" s="1"/>
  <c r="X33" i="36" s="1"/>
  <c r="Y33" i="36" s="1"/>
  <c r="Z33" i="36" s="1"/>
  <c r="V80" i="36"/>
  <c r="W80" i="36" s="1"/>
  <c r="X80" i="36" s="1"/>
  <c r="Y80" i="36" s="1"/>
  <c r="Z80" i="36" s="1"/>
  <c r="V50" i="36"/>
  <c r="W50" i="36" s="1"/>
  <c r="X50" i="36" s="1"/>
  <c r="Y50" i="36" s="1"/>
  <c r="Z50" i="36" s="1"/>
  <c r="V43" i="36"/>
  <c r="W43" i="36" s="1"/>
  <c r="X43" i="36" s="1"/>
  <c r="Y43" i="36" s="1"/>
  <c r="Z43" i="36" s="1"/>
  <c r="V47" i="36"/>
  <c r="W47" i="36" s="1"/>
  <c r="X47" i="36" s="1"/>
  <c r="Y47" i="36" s="1"/>
  <c r="Z47" i="36" s="1"/>
  <c r="V27" i="36"/>
  <c r="W27" i="36" s="1"/>
  <c r="X27" i="36" s="1"/>
  <c r="Y27" i="36" s="1"/>
  <c r="Z27" i="36" s="1"/>
  <c r="V14" i="36"/>
  <c r="W14" i="36" s="1"/>
  <c r="X14" i="36" s="1"/>
  <c r="Y14" i="36" s="1"/>
  <c r="Z14" i="36" s="1"/>
  <c r="V32" i="36"/>
  <c r="W32" i="36" s="1"/>
  <c r="X32" i="36" s="1"/>
  <c r="Y32" i="36" s="1"/>
  <c r="Z32" i="36" s="1"/>
  <c r="V17" i="36"/>
  <c r="W17" i="36" s="1"/>
  <c r="X17" i="36" s="1"/>
  <c r="Y17" i="36" s="1"/>
  <c r="Z17" i="36" s="1"/>
  <c r="V9" i="36"/>
  <c r="W9" i="36" s="1"/>
  <c r="X9" i="36" s="1"/>
  <c r="Y9" i="36" s="1"/>
  <c r="Z9" i="36" s="1"/>
  <c r="V5" i="36"/>
  <c r="W5" i="36" s="1"/>
  <c r="X5" i="36" s="1"/>
  <c r="Y5" i="36" s="1"/>
  <c r="Z5" i="36" s="1"/>
  <c r="V19" i="36"/>
  <c r="W19" i="36" s="1"/>
  <c r="X19" i="36" s="1"/>
  <c r="Y19" i="36" s="1"/>
  <c r="Z19" i="36" s="1"/>
  <c r="V58" i="36"/>
  <c r="W58" i="36" s="1"/>
  <c r="X58" i="36" s="1"/>
  <c r="Y58" i="36" s="1"/>
  <c r="Z58" i="36" s="1"/>
  <c r="V34" i="36"/>
  <c r="W34" i="36" s="1"/>
  <c r="X34" i="36" s="1"/>
  <c r="Y34" i="36" s="1"/>
  <c r="Z34" i="36" s="1"/>
  <c r="V31" i="36"/>
  <c r="W31" i="36" s="1"/>
  <c r="X31" i="36" s="1"/>
  <c r="Y31" i="36" s="1"/>
  <c r="Z31" i="36" s="1"/>
  <c r="V65" i="36"/>
  <c r="W65" i="36" s="1"/>
  <c r="X65" i="36" s="1"/>
  <c r="Y65" i="36" s="1"/>
  <c r="Z65" i="36" s="1"/>
  <c r="V54" i="36"/>
  <c r="W54" i="36" s="1"/>
  <c r="X54" i="36" s="1"/>
  <c r="Y54" i="36" s="1"/>
  <c r="Z54" i="36" s="1"/>
  <c r="V78" i="36"/>
  <c r="W78" i="36" s="1"/>
  <c r="X78" i="36" s="1"/>
  <c r="Y78" i="36" s="1"/>
  <c r="Z78" i="36" s="1"/>
  <c r="V12" i="36"/>
  <c r="W12" i="36" s="1"/>
  <c r="X12" i="36" s="1"/>
  <c r="Y12" i="36" s="1"/>
  <c r="Z12" i="36" s="1"/>
  <c r="V30" i="36"/>
  <c r="W30" i="36" s="1"/>
  <c r="X30" i="36" s="1"/>
  <c r="Y30" i="36" s="1"/>
  <c r="Z30" i="36" s="1"/>
  <c r="V67" i="36"/>
  <c r="W67" i="36" s="1"/>
  <c r="X67" i="36" s="1"/>
  <c r="Y67" i="36" s="1"/>
  <c r="Z67" i="36" s="1"/>
  <c r="V82" i="36"/>
  <c r="W82" i="36" s="1"/>
  <c r="X82" i="36" s="1"/>
  <c r="Y82" i="36" s="1"/>
  <c r="Z82" i="36" s="1"/>
  <c r="V22" i="36"/>
  <c r="W22" i="36" s="1"/>
  <c r="X22" i="36" s="1"/>
  <c r="Y22" i="36" s="1"/>
  <c r="Z22" i="36" s="1"/>
  <c r="V29" i="36"/>
  <c r="W29" i="36" s="1"/>
  <c r="X29" i="36" s="1"/>
  <c r="Y29" i="36" s="1"/>
  <c r="Z29" i="36" s="1"/>
  <c r="V48" i="36"/>
  <c r="W48" i="36" s="1"/>
  <c r="X48" i="36" s="1"/>
  <c r="Y48" i="36" s="1"/>
  <c r="Z48" i="36" s="1"/>
  <c r="V42" i="36"/>
  <c r="W42" i="36" s="1"/>
  <c r="X42" i="36" s="1"/>
  <c r="Y42" i="36" s="1"/>
  <c r="Z42" i="36" s="1"/>
  <c r="V76" i="36"/>
  <c r="W76" i="36" s="1"/>
  <c r="X76" i="36" s="1"/>
  <c r="Y76" i="36" s="1"/>
  <c r="Z76" i="36" s="1"/>
  <c r="V62" i="36"/>
  <c r="W62" i="36" s="1"/>
  <c r="X62" i="36" s="1"/>
  <c r="Y62" i="36" s="1"/>
  <c r="Z62" i="36" s="1"/>
  <c r="V23" i="36"/>
  <c r="W23" i="36" s="1"/>
  <c r="X23" i="36" s="1"/>
  <c r="Y23" i="36" s="1"/>
  <c r="Z23" i="36" s="1"/>
  <c r="V25" i="36"/>
  <c r="W25" i="36" s="1"/>
  <c r="X25" i="36" s="1"/>
  <c r="Y25" i="36" s="1"/>
  <c r="Z25" i="36" s="1"/>
  <c r="V35" i="36"/>
  <c r="W35" i="36" s="1"/>
  <c r="X35" i="36" s="1"/>
  <c r="Y35" i="36" s="1"/>
  <c r="Z35" i="36" s="1"/>
  <c r="V83" i="36"/>
  <c r="W83" i="36" s="1"/>
  <c r="X83" i="36" s="1"/>
  <c r="Y83" i="36" s="1"/>
  <c r="Z83" i="36" s="1"/>
  <c r="V15" i="36"/>
  <c r="W15" i="36" s="1"/>
  <c r="X15" i="36" s="1"/>
  <c r="Y15" i="36" s="1"/>
  <c r="Z15" i="36" s="1"/>
  <c r="V75" i="36"/>
  <c r="W75" i="36" s="1"/>
  <c r="X75" i="36" s="1"/>
  <c r="Y75" i="36" s="1"/>
  <c r="Z75" i="36" s="1"/>
  <c r="V10" i="36"/>
  <c r="W10" i="36" s="1"/>
  <c r="X10" i="36" s="1"/>
  <c r="Y10" i="36" s="1"/>
  <c r="Z10" i="36" s="1"/>
  <c r="V41" i="36"/>
  <c r="W41" i="36" s="1"/>
  <c r="X41" i="36" s="1"/>
  <c r="Y41" i="36" s="1"/>
  <c r="Z41" i="36" s="1"/>
  <c r="V74" i="36"/>
  <c r="W74" i="36" s="1"/>
  <c r="X74" i="36" s="1"/>
  <c r="Y74" i="36" s="1"/>
  <c r="Z74" i="36" s="1"/>
  <c r="V61" i="36"/>
  <c r="W61" i="36" s="1"/>
  <c r="X61" i="36" s="1"/>
  <c r="Y61" i="36" s="1"/>
  <c r="Z61" i="36" s="1"/>
  <c r="V45" i="36"/>
  <c r="W45" i="36" s="1"/>
  <c r="X45" i="36" s="1"/>
  <c r="Y45" i="36" s="1"/>
  <c r="Z45" i="36" s="1"/>
  <c r="V63" i="36"/>
  <c r="W63" i="36" s="1"/>
  <c r="X63" i="36" s="1"/>
  <c r="Y63" i="36" s="1"/>
  <c r="Z63" i="36" s="1"/>
  <c r="V16" i="36"/>
  <c r="W16" i="36" s="1"/>
  <c r="X16" i="36" s="1"/>
  <c r="Y16" i="36" s="1"/>
  <c r="Z16" i="36" s="1"/>
  <c r="V79" i="36"/>
  <c r="W79" i="36" s="1"/>
  <c r="X79" i="36" s="1"/>
  <c r="Y79" i="36" s="1"/>
  <c r="Z79" i="36" s="1"/>
  <c r="V24" i="36"/>
  <c r="W24" i="36" s="1"/>
  <c r="X24" i="36" s="1"/>
  <c r="Y24" i="36" s="1"/>
  <c r="Z24" i="36" s="1"/>
  <c r="V56" i="36"/>
  <c r="W56" i="36" s="1"/>
  <c r="X56" i="36" s="1"/>
  <c r="Y56" i="36" s="1"/>
  <c r="Z56" i="36" s="1"/>
  <c r="V46" i="36"/>
  <c r="W46" i="36" s="1"/>
  <c r="X46" i="36" s="1"/>
  <c r="Y46" i="36" s="1"/>
  <c r="Z46" i="36" s="1"/>
  <c r="V39" i="36"/>
  <c r="W39" i="36" s="1"/>
  <c r="X39" i="36" s="1"/>
  <c r="Y39" i="36" s="1"/>
  <c r="Z39" i="36" s="1"/>
  <c r="V53" i="36"/>
  <c r="W53" i="36" s="1"/>
  <c r="X53" i="36" s="1"/>
  <c r="Y53" i="36" s="1"/>
  <c r="Z53" i="36" s="1"/>
  <c r="V70" i="36"/>
  <c r="W70" i="36" s="1"/>
  <c r="X70" i="36" s="1"/>
  <c r="Y70" i="36" s="1"/>
  <c r="Z70" i="36" s="1"/>
  <c r="V7" i="36"/>
  <c r="W7" i="36" s="1"/>
  <c r="X7" i="36" s="1"/>
  <c r="Y7" i="36" s="1"/>
  <c r="Z7" i="36" s="1"/>
  <c r="G118" i="41"/>
  <c r="G118" i="33"/>
  <c r="G118" i="42"/>
  <c r="E111" i="42"/>
  <c r="E111" i="33"/>
  <c r="E111" i="41"/>
  <c r="D34" i="10"/>
  <c r="D14" i="10"/>
  <c r="D57" i="10"/>
  <c r="D69" i="10"/>
  <c r="D6" i="10"/>
  <c r="D74" i="10"/>
  <c r="D58" i="10"/>
  <c r="D43" i="10"/>
  <c r="D27" i="10"/>
  <c r="D11" i="10"/>
  <c r="D76" i="10"/>
  <c r="D60" i="10"/>
  <c r="D41" i="10"/>
  <c r="D25" i="10"/>
  <c r="D9" i="10"/>
  <c r="D83" i="10"/>
  <c r="D67" i="10"/>
  <c r="D52" i="10"/>
  <c r="D36" i="10"/>
  <c r="D20" i="10"/>
  <c r="C176" i="33"/>
  <c r="J169" i="33" s="1"/>
  <c r="B191" i="33" s="1"/>
  <c r="C176" i="41"/>
  <c r="J169" i="41" s="1"/>
  <c r="B191" i="41" s="1"/>
  <c r="C176" i="42"/>
  <c r="J169" i="42" s="1"/>
  <c r="B191" i="42" s="1"/>
  <c r="C112" i="18"/>
  <c r="J169" i="18"/>
  <c r="B191" i="18" s="1"/>
  <c r="O4" i="26"/>
  <c r="F18" i="18"/>
  <c r="D12" i="26"/>
  <c r="D18" i="26"/>
  <c r="D21" i="26"/>
  <c r="D24" i="26"/>
  <c r="D28" i="26"/>
  <c r="D32" i="26"/>
  <c r="D36" i="26"/>
  <c r="D40" i="26"/>
  <c r="D47" i="26"/>
  <c r="D51" i="26"/>
  <c r="D55" i="26"/>
  <c r="D59" i="26"/>
  <c r="D64" i="26"/>
  <c r="D67" i="26"/>
  <c r="D71" i="26"/>
  <c r="D74" i="26"/>
  <c r="D78" i="26"/>
  <c r="D84" i="26"/>
  <c r="D5" i="26"/>
  <c r="D8" i="26"/>
  <c r="D10" i="26"/>
  <c r="D13" i="26"/>
  <c r="D15" i="26"/>
  <c r="D22" i="26"/>
  <c r="D25" i="26"/>
  <c r="D29" i="26"/>
  <c r="D33" i="26"/>
  <c r="D37" i="26"/>
  <c r="D41" i="26"/>
  <c r="D44" i="26"/>
  <c r="D48" i="26"/>
  <c r="D52" i="26"/>
  <c r="D56" i="26"/>
  <c r="D62" i="26"/>
  <c r="D68" i="26"/>
  <c r="D72" i="26"/>
  <c r="D75" i="26"/>
  <c r="D79" i="26"/>
  <c r="D82" i="26"/>
  <c r="D6" i="26"/>
  <c r="D9" i="26"/>
  <c r="D11" i="26"/>
  <c r="D16" i="26"/>
  <c r="D19" i="26"/>
  <c r="D26" i="26"/>
  <c r="D30" i="26"/>
  <c r="D34" i="26"/>
  <c r="D38" i="26"/>
  <c r="D42" i="26"/>
  <c r="D45" i="26"/>
  <c r="D49" i="26"/>
  <c r="D53" i="26"/>
  <c r="D57" i="26"/>
  <c r="D60" i="26"/>
  <c r="D65" i="26"/>
  <c r="D69" i="26"/>
  <c r="D73" i="26"/>
  <c r="D76" i="26"/>
  <c r="D80" i="26"/>
  <c r="D4" i="26"/>
  <c r="D7" i="26"/>
  <c r="D14" i="26"/>
  <c r="D17" i="26"/>
  <c r="D20" i="26"/>
  <c r="D23" i="26"/>
  <c r="D27" i="26"/>
  <c r="D31" i="26"/>
  <c r="D35" i="26"/>
  <c r="D39" i="26"/>
  <c r="D43" i="26"/>
  <c r="D46" i="26"/>
  <c r="D50" i="26"/>
  <c r="D54" i="26"/>
  <c r="D58" i="26"/>
  <c r="D61" i="26"/>
  <c r="D63" i="26"/>
  <c r="D66" i="26"/>
  <c r="D70" i="26"/>
  <c r="D77" i="26"/>
  <c r="D81" i="26"/>
  <c r="D83" i="26"/>
  <c r="V9" i="26"/>
  <c r="W9" i="26" s="1"/>
  <c r="X9" i="26" s="1"/>
  <c r="Y9" i="26" s="1"/>
  <c r="Z9" i="26" s="1"/>
  <c r="V29" i="26"/>
  <c r="W29" i="26" s="1"/>
  <c r="X29" i="26" s="1"/>
  <c r="Y29" i="26" s="1"/>
  <c r="Z29" i="26" s="1"/>
  <c r="V78" i="26"/>
  <c r="W78" i="26" s="1"/>
  <c r="X78" i="26" s="1"/>
  <c r="Y78" i="26" s="1"/>
  <c r="Z78" i="26" s="1"/>
  <c r="V36" i="26"/>
  <c r="W36" i="26" s="1"/>
  <c r="X36" i="26" s="1"/>
  <c r="Y36" i="26" s="1"/>
  <c r="Z36" i="26" s="1"/>
  <c r="V43" i="26"/>
  <c r="W43" i="26" s="1"/>
  <c r="X43" i="26" s="1"/>
  <c r="Y43" i="26" s="1"/>
  <c r="Z43" i="26" s="1"/>
  <c r="V62" i="26"/>
  <c r="W62" i="26" s="1"/>
  <c r="X62" i="26" s="1"/>
  <c r="Y62" i="26" s="1"/>
  <c r="Z62" i="26" s="1"/>
  <c r="V82" i="26"/>
  <c r="W82" i="26" s="1"/>
  <c r="X82" i="26" s="1"/>
  <c r="Y82" i="26" s="1"/>
  <c r="Z82" i="26" s="1"/>
  <c r="V76" i="26"/>
  <c r="W76" i="26" s="1"/>
  <c r="X76" i="26" s="1"/>
  <c r="Y76" i="26" s="1"/>
  <c r="Z76" i="26" s="1"/>
  <c r="V37" i="26"/>
  <c r="W37" i="26" s="1"/>
  <c r="X37" i="26" s="1"/>
  <c r="Y37" i="26" s="1"/>
  <c r="Z37" i="26" s="1"/>
  <c r="V21" i="26"/>
  <c r="W21" i="26" s="1"/>
  <c r="X21" i="26" s="1"/>
  <c r="Y21" i="26" s="1"/>
  <c r="Z21" i="26" s="1"/>
  <c r="V5" i="26"/>
  <c r="W5" i="26" s="1"/>
  <c r="X5" i="26" s="1"/>
  <c r="Y5" i="26" s="1"/>
  <c r="Z5" i="26" s="1"/>
  <c r="V4" i="26"/>
  <c r="W4" i="26" s="1"/>
  <c r="X4" i="26" s="1"/>
  <c r="Y4" i="26" s="1"/>
  <c r="Z4" i="26" s="1"/>
  <c r="V27" i="26"/>
  <c r="W27" i="26" s="1"/>
  <c r="X27" i="26" s="1"/>
  <c r="Y27" i="26" s="1"/>
  <c r="Z27" i="26" s="1"/>
  <c r="V8" i="26"/>
  <c r="W8" i="26" s="1"/>
  <c r="X8" i="26" s="1"/>
  <c r="Y8" i="26" s="1"/>
  <c r="Z8" i="26" s="1"/>
  <c r="V23" i="26"/>
  <c r="W23" i="26" s="1"/>
  <c r="X23" i="26" s="1"/>
  <c r="Y23" i="26" s="1"/>
  <c r="Z23" i="26" s="1"/>
  <c r="V45" i="26"/>
  <c r="W45" i="26" s="1"/>
  <c r="X45" i="26" s="1"/>
  <c r="Y45" i="26" s="1"/>
  <c r="Z45" i="26" s="1"/>
  <c r="V46" i="26"/>
  <c r="W46" i="26" s="1"/>
  <c r="X46" i="26" s="1"/>
  <c r="Y46" i="26" s="1"/>
  <c r="Z46" i="26" s="1"/>
  <c r="V16" i="26"/>
  <c r="W16" i="26" s="1"/>
  <c r="X16" i="26" s="1"/>
  <c r="Y16" i="26" s="1"/>
  <c r="Z16" i="26" s="1"/>
  <c r="V32" i="26"/>
  <c r="W32" i="26" s="1"/>
  <c r="X32" i="26" s="1"/>
  <c r="Y32" i="26" s="1"/>
  <c r="Z32" i="26" s="1"/>
  <c r="V48" i="26"/>
  <c r="W48" i="26" s="1"/>
  <c r="X48" i="26" s="1"/>
  <c r="Y48" i="26" s="1"/>
  <c r="Z48" i="26" s="1"/>
  <c r="V39" i="26"/>
  <c r="W39" i="26" s="1"/>
  <c r="X39" i="26" s="1"/>
  <c r="Y39" i="26" s="1"/>
  <c r="Z39" i="26" s="1"/>
  <c r="V69" i="26"/>
  <c r="W69" i="26" s="1"/>
  <c r="X69" i="26" s="1"/>
  <c r="Y69" i="26" s="1"/>
  <c r="Z69" i="26" s="1"/>
  <c r="V65" i="26"/>
  <c r="W65" i="26" s="1"/>
  <c r="X65" i="26" s="1"/>
  <c r="Y65" i="26" s="1"/>
  <c r="Z65" i="26" s="1"/>
  <c r="V58" i="26"/>
  <c r="W58" i="26" s="1"/>
  <c r="X58" i="26" s="1"/>
  <c r="Y58" i="26" s="1"/>
  <c r="Z58" i="26" s="1"/>
  <c r="V83" i="26"/>
  <c r="W83" i="26" s="1"/>
  <c r="X83" i="26" s="1"/>
  <c r="Y83" i="26" s="1"/>
  <c r="Z83" i="26" s="1"/>
  <c r="V74" i="26"/>
  <c r="W74" i="26" s="1"/>
  <c r="X74" i="26" s="1"/>
  <c r="Y74" i="26" s="1"/>
  <c r="Z74" i="26" s="1"/>
  <c r="V72" i="26"/>
  <c r="W72" i="26" s="1"/>
  <c r="X72" i="26" s="1"/>
  <c r="Y72" i="26" s="1"/>
  <c r="Z72" i="26" s="1"/>
  <c r="V73" i="26"/>
  <c r="W73" i="26" s="1"/>
  <c r="X73" i="26" s="1"/>
  <c r="Y73" i="26" s="1"/>
  <c r="Z73" i="26" s="1"/>
  <c r="V55" i="26"/>
  <c r="W55" i="26" s="1"/>
  <c r="X55" i="26" s="1"/>
  <c r="Y55" i="26" s="1"/>
  <c r="Z55" i="26" s="1"/>
  <c r="V38" i="26"/>
  <c r="W38" i="26" s="1"/>
  <c r="X38" i="26" s="1"/>
  <c r="Y38" i="26" s="1"/>
  <c r="Z38" i="26" s="1"/>
  <c r="V10" i="26"/>
  <c r="W10" i="26" s="1"/>
  <c r="X10" i="26" s="1"/>
  <c r="Y10" i="26" s="1"/>
  <c r="Z10" i="26" s="1"/>
  <c r="V52" i="26"/>
  <c r="W52" i="26" s="1"/>
  <c r="X52" i="26" s="1"/>
  <c r="Y52" i="26" s="1"/>
  <c r="Z52" i="26" s="1"/>
  <c r="V41" i="26"/>
  <c r="W41" i="26" s="1"/>
  <c r="X41" i="26" s="1"/>
  <c r="Y41" i="26" s="1"/>
  <c r="Z41" i="26" s="1"/>
  <c r="V19" i="26"/>
  <c r="W19" i="26" s="1"/>
  <c r="X19" i="26" s="1"/>
  <c r="Y19" i="26" s="1"/>
  <c r="Z19" i="26" s="1"/>
  <c r="V13" i="26"/>
  <c r="W13" i="26" s="1"/>
  <c r="X13" i="26" s="1"/>
  <c r="Y13" i="26" s="1"/>
  <c r="Z13" i="26" s="1"/>
  <c r="V34" i="26"/>
  <c r="W34" i="26" s="1"/>
  <c r="X34" i="26" s="1"/>
  <c r="Y34" i="26" s="1"/>
  <c r="Z34" i="26" s="1"/>
  <c r="V14" i="26"/>
  <c r="W14" i="26" s="1"/>
  <c r="X14" i="26" s="1"/>
  <c r="Y14" i="26" s="1"/>
  <c r="Z14" i="26" s="1"/>
  <c r="V59" i="26"/>
  <c r="W59" i="26" s="1"/>
  <c r="X59" i="26" s="1"/>
  <c r="Y59" i="26" s="1"/>
  <c r="Z59" i="26" s="1"/>
  <c r="V24" i="26"/>
  <c r="W24" i="26" s="1"/>
  <c r="X24" i="26" s="1"/>
  <c r="Y24" i="26" s="1"/>
  <c r="Z24" i="26" s="1"/>
  <c r="V40" i="26"/>
  <c r="W40" i="26" s="1"/>
  <c r="X40" i="26" s="1"/>
  <c r="Y40" i="26" s="1"/>
  <c r="Z40" i="26" s="1"/>
  <c r="V70" i="26"/>
  <c r="W70" i="26" s="1"/>
  <c r="X70" i="26" s="1"/>
  <c r="Y70" i="26" s="1"/>
  <c r="Z70" i="26" s="1"/>
  <c r="V47" i="26"/>
  <c r="W47" i="26" s="1"/>
  <c r="X47" i="26" s="1"/>
  <c r="Y47" i="26" s="1"/>
  <c r="Z47" i="26" s="1"/>
  <c r="V56" i="26"/>
  <c r="W56" i="26" s="1"/>
  <c r="X56" i="26" s="1"/>
  <c r="Y56" i="26" s="1"/>
  <c r="Z56" i="26" s="1"/>
  <c r="V79" i="26"/>
  <c r="W79" i="26" s="1"/>
  <c r="X79" i="26" s="1"/>
  <c r="Y79" i="26" s="1"/>
  <c r="Z79" i="26" s="1"/>
  <c r="V67" i="26"/>
  <c r="W67" i="26" s="1"/>
  <c r="X67" i="26" s="1"/>
  <c r="Y67" i="26" s="1"/>
  <c r="Z67" i="26" s="1"/>
  <c r="V61" i="26"/>
  <c r="W61" i="26" s="1"/>
  <c r="X61" i="26" s="1"/>
  <c r="Y61" i="26" s="1"/>
  <c r="Z61" i="26" s="1"/>
  <c r="V64" i="26"/>
  <c r="W64" i="26" s="1"/>
  <c r="X64" i="26" s="1"/>
  <c r="Y64" i="26" s="1"/>
  <c r="Z64" i="26" s="1"/>
  <c r="V80" i="26"/>
  <c r="W80" i="26" s="1"/>
  <c r="X80" i="26" s="1"/>
  <c r="Y80" i="26" s="1"/>
  <c r="Z80" i="26" s="1"/>
  <c r="V81" i="26"/>
  <c r="W81" i="26" s="1"/>
  <c r="X81" i="26" s="1"/>
  <c r="Y81" i="26" s="1"/>
  <c r="Z81" i="26" s="1"/>
  <c r="V50" i="26"/>
  <c r="W50" i="26" s="1"/>
  <c r="X50" i="26" s="1"/>
  <c r="Y50" i="26" s="1"/>
  <c r="Z50" i="26" s="1"/>
  <c r="V33" i="26"/>
  <c r="W33" i="26" s="1"/>
  <c r="X33" i="26" s="1"/>
  <c r="Y33" i="26" s="1"/>
  <c r="Z33" i="26" s="1"/>
  <c r="V17" i="26"/>
  <c r="W17" i="26" s="1"/>
  <c r="X17" i="26" s="1"/>
  <c r="Y17" i="26" s="1"/>
  <c r="Z17" i="26" s="1"/>
  <c r="V11" i="26"/>
  <c r="W11" i="26" s="1"/>
  <c r="X11" i="26" s="1"/>
  <c r="Y11" i="26" s="1"/>
  <c r="Z11" i="26" s="1"/>
  <c r="V26" i="26"/>
  <c r="W26" i="26" s="1"/>
  <c r="X26" i="26" s="1"/>
  <c r="Y26" i="26" s="1"/>
  <c r="Z26" i="26" s="1"/>
  <c r="V6" i="26"/>
  <c r="W6" i="26" s="1"/>
  <c r="X6" i="26" s="1"/>
  <c r="Y6" i="26" s="1"/>
  <c r="Z6" i="26" s="1"/>
  <c r="V49" i="26"/>
  <c r="W49" i="26" s="1"/>
  <c r="X49" i="26" s="1"/>
  <c r="Y49" i="26" s="1"/>
  <c r="Z49" i="26" s="1"/>
  <c r="V20" i="26"/>
  <c r="W20" i="26" s="1"/>
  <c r="X20" i="26" s="1"/>
  <c r="Y20" i="26" s="1"/>
  <c r="Z20" i="26" s="1"/>
  <c r="V53" i="26"/>
  <c r="W53" i="26" s="1"/>
  <c r="X53" i="26" s="1"/>
  <c r="Y53" i="26" s="1"/>
  <c r="Z53" i="26" s="1"/>
  <c r="V71" i="26"/>
  <c r="W71" i="26" s="1"/>
  <c r="X71" i="26" s="1"/>
  <c r="Y71" i="26" s="1"/>
  <c r="Z71" i="26" s="1"/>
  <c r="V57" i="26"/>
  <c r="W57" i="26" s="1"/>
  <c r="X57" i="26" s="1"/>
  <c r="Y57" i="26" s="1"/>
  <c r="Z57" i="26" s="1"/>
  <c r="V77" i="26"/>
  <c r="W77" i="26" s="1"/>
  <c r="X77" i="26" s="1"/>
  <c r="Y77" i="26" s="1"/>
  <c r="Z77" i="26" s="1"/>
  <c r="V31" i="26"/>
  <c r="W31" i="26" s="1"/>
  <c r="X31" i="26" s="1"/>
  <c r="Y31" i="26" s="1"/>
  <c r="Z31" i="26" s="1"/>
  <c r="V15" i="26"/>
  <c r="W15" i="26" s="1"/>
  <c r="X15" i="26" s="1"/>
  <c r="Y15" i="26" s="1"/>
  <c r="Z15" i="26" s="1"/>
  <c r="V25" i="26"/>
  <c r="W25" i="26" s="1"/>
  <c r="X25" i="26" s="1"/>
  <c r="Y25" i="26" s="1"/>
  <c r="Z25" i="26" s="1"/>
  <c r="V18" i="26"/>
  <c r="W18" i="26" s="1"/>
  <c r="X18" i="26" s="1"/>
  <c r="Y18" i="26" s="1"/>
  <c r="Z18" i="26" s="1"/>
  <c r="V42" i="26"/>
  <c r="W42" i="26" s="1"/>
  <c r="X42" i="26" s="1"/>
  <c r="Y42" i="26" s="1"/>
  <c r="Z42" i="26" s="1"/>
  <c r="V30" i="26"/>
  <c r="W30" i="26" s="1"/>
  <c r="X30" i="26" s="1"/>
  <c r="Y30" i="26" s="1"/>
  <c r="Z30" i="26" s="1"/>
  <c r="V63" i="26"/>
  <c r="W63" i="26" s="1"/>
  <c r="X63" i="26" s="1"/>
  <c r="Y63" i="26" s="1"/>
  <c r="Z63" i="26" s="1"/>
  <c r="V28" i="26"/>
  <c r="W28" i="26" s="1"/>
  <c r="X28" i="26" s="1"/>
  <c r="Y28" i="26" s="1"/>
  <c r="Z28" i="26" s="1"/>
  <c r="V44" i="26"/>
  <c r="W44" i="26" s="1"/>
  <c r="X44" i="26" s="1"/>
  <c r="Y44" i="26" s="1"/>
  <c r="Z44" i="26" s="1"/>
  <c r="V35" i="26"/>
  <c r="W35" i="26" s="1"/>
  <c r="X35" i="26" s="1"/>
  <c r="Y35" i="26" s="1"/>
  <c r="Z35" i="26" s="1"/>
  <c r="V51" i="26"/>
  <c r="W51" i="26" s="1"/>
  <c r="X51" i="26" s="1"/>
  <c r="Y51" i="26" s="1"/>
  <c r="Z51" i="26" s="1"/>
  <c r="V60" i="26"/>
  <c r="W60" i="26" s="1"/>
  <c r="X60" i="26" s="1"/>
  <c r="Y60" i="26" s="1"/>
  <c r="Z60" i="26" s="1"/>
  <c r="V54" i="26"/>
  <c r="W54" i="26" s="1"/>
  <c r="X54" i="26" s="1"/>
  <c r="Y54" i="26" s="1"/>
  <c r="Z54" i="26" s="1"/>
  <c r="V75" i="26"/>
  <c r="W75" i="26" s="1"/>
  <c r="X75" i="26" s="1"/>
  <c r="Y75" i="26" s="1"/>
  <c r="Z75" i="26" s="1"/>
  <c r="V66" i="26"/>
  <c r="W66" i="26" s="1"/>
  <c r="X66" i="26" s="1"/>
  <c r="Y66" i="26" s="1"/>
  <c r="Z66" i="26" s="1"/>
  <c r="V68" i="26"/>
  <c r="W68" i="26" s="1"/>
  <c r="X68" i="26" s="1"/>
  <c r="Y68" i="26" s="1"/>
  <c r="Z68" i="26" s="1"/>
  <c r="V84" i="26"/>
  <c r="W84" i="26" s="1"/>
  <c r="X84" i="26" s="1"/>
  <c r="Y84" i="26" s="1"/>
  <c r="Z84" i="26" s="1"/>
  <c r="V12" i="26"/>
  <c r="W12" i="26" s="1"/>
  <c r="X12" i="26" s="1"/>
  <c r="Y12" i="26" s="1"/>
  <c r="Z12" i="26" s="1"/>
  <c r="V22" i="26"/>
  <c r="W22" i="26" s="1"/>
  <c r="X22" i="26" s="1"/>
  <c r="Y22" i="26" s="1"/>
  <c r="Z22" i="26" s="1"/>
  <c r="V7" i="26"/>
  <c r="W7" i="26" s="1"/>
  <c r="X7" i="26" s="1"/>
  <c r="Y7" i="26" s="1"/>
  <c r="Z7" i="26" s="1"/>
  <c r="N85" i="10"/>
  <c r="J7" i="10" s="1"/>
  <c r="J5" i="10"/>
  <c r="J9" i="10"/>
  <c r="U70" i="10"/>
  <c r="U6" i="10"/>
  <c r="U76" i="10"/>
  <c r="U54" i="10"/>
  <c r="U33" i="10"/>
  <c r="U12" i="10"/>
  <c r="U28" i="10"/>
  <c r="U65" i="10"/>
  <c r="U44" i="10"/>
  <c r="V44" i="10" s="1"/>
  <c r="W44" i="10" s="1"/>
  <c r="X44" i="10" s="1"/>
  <c r="Y44" i="10" s="1"/>
  <c r="Z44" i="10" s="1"/>
  <c r="U22" i="10"/>
  <c r="U49" i="10"/>
  <c r="U81" i="10"/>
  <c r="U60" i="10"/>
  <c r="U38" i="10"/>
  <c r="U17" i="10"/>
  <c r="U80" i="10"/>
  <c r="U74" i="10"/>
  <c r="V74" i="10" s="1"/>
  <c r="U69" i="10"/>
  <c r="U64" i="10"/>
  <c r="U58" i="10"/>
  <c r="U53" i="10"/>
  <c r="U48" i="10"/>
  <c r="U42" i="10"/>
  <c r="U37" i="10"/>
  <c r="U32" i="10"/>
  <c r="V32" i="10" s="1"/>
  <c r="U26" i="10"/>
  <c r="U21" i="10"/>
  <c r="U16" i="10"/>
  <c r="U10" i="10"/>
  <c r="U5" i="10"/>
  <c r="U84" i="10"/>
  <c r="U78" i="10"/>
  <c r="U73" i="10"/>
  <c r="V73" i="10" s="1"/>
  <c r="U68" i="10"/>
  <c r="U62" i="10"/>
  <c r="U57" i="10"/>
  <c r="U52" i="10"/>
  <c r="U46" i="10"/>
  <c r="U41" i="10"/>
  <c r="U36" i="10"/>
  <c r="U30" i="10"/>
  <c r="V30" i="10" s="1"/>
  <c r="U25" i="10"/>
  <c r="U20" i="10"/>
  <c r="U14" i="10"/>
  <c r="U9" i="10"/>
  <c r="U82" i="10"/>
  <c r="U77" i="10"/>
  <c r="U72" i="10"/>
  <c r="U66" i="10"/>
  <c r="V66" i="10" s="1"/>
  <c r="U61" i="10"/>
  <c r="U56" i="10"/>
  <c r="U50" i="10"/>
  <c r="U45" i="10"/>
  <c r="U40" i="10"/>
  <c r="U34" i="10"/>
  <c r="U29" i="10"/>
  <c r="U24" i="10"/>
  <c r="V24" i="10" s="1"/>
  <c r="U18" i="10"/>
  <c r="U13" i="10"/>
  <c r="U8" i="10"/>
  <c r="U83" i="10"/>
  <c r="U79" i="10"/>
  <c r="U75" i="10"/>
  <c r="U71" i="10"/>
  <c r="U67" i="10"/>
  <c r="V67" i="10" s="1"/>
  <c r="U63" i="10"/>
  <c r="U59" i="10"/>
  <c r="U55" i="10"/>
  <c r="U51" i="10"/>
  <c r="U47" i="10"/>
  <c r="U43" i="10"/>
  <c r="U39" i="10"/>
  <c r="U35" i="10"/>
  <c r="V35" i="10" s="1"/>
  <c r="U31" i="10"/>
  <c r="U27" i="10"/>
  <c r="U23" i="10"/>
  <c r="U19" i="10"/>
  <c r="U15" i="10"/>
  <c r="U11" i="10"/>
  <c r="U7" i="10"/>
  <c r="AC4" i="26" l="1"/>
  <c r="AC37" i="26"/>
  <c r="AC63" i="26"/>
  <c r="AC35" i="26"/>
  <c r="AC53" i="26"/>
  <c r="AC19" i="26"/>
  <c r="AC8" i="26"/>
  <c r="AC59" i="26"/>
  <c r="AC24" i="26"/>
  <c r="AC61" i="26"/>
  <c r="AC31" i="26"/>
  <c r="AC80" i="26"/>
  <c r="AC49" i="26"/>
  <c r="AC68" i="26"/>
  <c r="AC55" i="26"/>
  <c r="AC81" i="26"/>
  <c r="AC50" i="26"/>
  <c r="AC20" i="26"/>
  <c r="AC69" i="26"/>
  <c r="AC38" i="26"/>
  <c r="AC6" i="26"/>
  <c r="AC52" i="26"/>
  <c r="AC22" i="26"/>
  <c r="AC74" i="26"/>
  <c r="AC40" i="26"/>
  <c r="AC16" i="26"/>
  <c r="AC77" i="26"/>
  <c r="AC46" i="26"/>
  <c r="AC17" i="26"/>
  <c r="AC65" i="26"/>
  <c r="AC34" i="26"/>
  <c r="AC82" i="26"/>
  <c r="AC48" i="26"/>
  <c r="AC15" i="26"/>
  <c r="AC71" i="26"/>
  <c r="AC36" i="26"/>
  <c r="AC21" i="26"/>
  <c r="AC70" i="26"/>
  <c r="AC43" i="26"/>
  <c r="AC14" i="26"/>
  <c r="AC60" i="26"/>
  <c r="AC30" i="26"/>
  <c r="AC79" i="26"/>
  <c r="AC44" i="26"/>
  <c r="AC13" i="26"/>
  <c r="AC67" i="26"/>
  <c r="AC32" i="26"/>
  <c r="AC5" i="26"/>
  <c r="AC66" i="26"/>
  <c r="AC39" i="26"/>
  <c r="AC7" i="26"/>
  <c r="AC57" i="26"/>
  <c r="AC26" i="26"/>
  <c r="AC75" i="26"/>
  <c r="AC41" i="26"/>
  <c r="AC10" i="26"/>
  <c r="AC64" i="26"/>
  <c r="AC28" i="26"/>
  <c r="AC72" i="26"/>
  <c r="AC33" i="26"/>
  <c r="AC58" i="26"/>
  <c r="AC27" i="26"/>
  <c r="AC76" i="26"/>
  <c r="AC45" i="26"/>
  <c r="AC11" i="26"/>
  <c r="AC62" i="26"/>
  <c r="AC29" i="26"/>
  <c r="AC84" i="26"/>
  <c r="AC51" i="26"/>
  <c r="AC18" i="26"/>
  <c r="AC83" i="26"/>
  <c r="AC54" i="26"/>
  <c r="AC23" i="26"/>
  <c r="AC73" i="26"/>
  <c r="AC42" i="26"/>
  <c r="AC9" i="26"/>
  <c r="AC56" i="26"/>
  <c r="AC25" i="26"/>
  <c r="AC78" i="26"/>
  <c r="AC47" i="26"/>
  <c r="AC12" i="26"/>
  <c r="W24" i="10"/>
  <c r="X24" i="10" s="1"/>
  <c r="Y24" i="10" s="1"/>
  <c r="Z24" i="10" s="1"/>
  <c r="W73" i="10"/>
  <c r="X73" i="10" s="1"/>
  <c r="Y73" i="10" s="1"/>
  <c r="Z73" i="10" s="1"/>
  <c r="W32" i="10"/>
  <c r="X32" i="10" s="1"/>
  <c r="Y32" i="10" s="1"/>
  <c r="Z32" i="10" s="1"/>
  <c r="W35" i="10"/>
  <c r="X35" i="10" s="1"/>
  <c r="Y35" i="10" s="1"/>
  <c r="Z35" i="10" s="1"/>
  <c r="W30" i="10"/>
  <c r="X30" i="10" s="1"/>
  <c r="Y30" i="10" s="1"/>
  <c r="Z30" i="10" s="1"/>
  <c r="W67" i="10"/>
  <c r="X67" i="10" s="1"/>
  <c r="Y67" i="10" s="1"/>
  <c r="Z67" i="10" s="1"/>
  <c r="W66" i="10"/>
  <c r="X66" i="10" s="1"/>
  <c r="Y66" i="10" s="1"/>
  <c r="Z66" i="10" s="1"/>
  <c r="W74" i="10"/>
  <c r="X74" i="10" s="1"/>
  <c r="Y74" i="10" s="1"/>
  <c r="Z74" i="10" s="1"/>
  <c r="C112" i="42"/>
  <c r="C113" i="42"/>
  <c r="C47" i="40" s="1"/>
  <c r="C48" i="40" s="1"/>
  <c r="C112" i="41"/>
  <c r="C18" i="39" s="1"/>
  <c r="C19" i="39" s="1"/>
  <c r="C113" i="41"/>
  <c r="C47" i="39" s="1"/>
  <c r="C48" i="39" s="1"/>
  <c r="C112" i="33"/>
  <c r="D112" i="33" s="1"/>
  <c r="C113" i="33"/>
  <c r="V4" i="10"/>
  <c r="W4" i="10" s="1"/>
  <c r="X4" i="10" s="1"/>
  <c r="Y4" i="10" s="1"/>
  <c r="Z4" i="10" s="1"/>
  <c r="X4" i="37"/>
  <c r="C133" i="42"/>
  <c r="C133" i="41"/>
  <c r="F151" i="33"/>
  <c r="F61" i="33" s="1"/>
  <c r="V19" i="10"/>
  <c r="W19" i="10" s="1"/>
  <c r="X19" i="10" s="1"/>
  <c r="Y19" i="10" s="1"/>
  <c r="Z19" i="10" s="1"/>
  <c r="V51" i="10"/>
  <c r="W51" i="10" s="1"/>
  <c r="X51" i="10" s="1"/>
  <c r="Y51" i="10" s="1"/>
  <c r="Z51" i="10" s="1"/>
  <c r="V83" i="10"/>
  <c r="W83" i="10" s="1"/>
  <c r="X83" i="10" s="1"/>
  <c r="Y83" i="10" s="1"/>
  <c r="Z83" i="10" s="1"/>
  <c r="V45" i="10"/>
  <c r="W45" i="10" s="1"/>
  <c r="X45" i="10" s="1"/>
  <c r="Y45" i="10" s="1"/>
  <c r="Z45" i="10" s="1"/>
  <c r="V9" i="10"/>
  <c r="W9" i="10" s="1"/>
  <c r="X9" i="10" s="1"/>
  <c r="Y9" i="10" s="1"/>
  <c r="Z9" i="10" s="1"/>
  <c r="V52" i="10"/>
  <c r="W52" i="10" s="1"/>
  <c r="X52" i="10" s="1"/>
  <c r="Y52" i="10" s="1"/>
  <c r="Z52" i="10" s="1"/>
  <c r="V10" i="10"/>
  <c r="W10" i="10" s="1"/>
  <c r="X10" i="10" s="1"/>
  <c r="Y10" i="10" s="1"/>
  <c r="Z10" i="10" s="1"/>
  <c r="V53" i="10"/>
  <c r="W53" i="10" s="1"/>
  <c r="X53" i="10" s="1"/>
  <c r="Y53" i="10" s="1"/>
  <c r="Z53" i="10" s="1"/>
  <c r="V60" i="10"/>
  <c r="W60" i="10" s="1"/>
  <c r="X60" i="10" s="1"/>
  <c r="Y60" i="10" s="1"/>
  <c r="Z60" i="10" s="1"/>
  <c r="V43" i="10"/>
  <c r="W43" i="10" s="1"/>
  <c r="X43" i="10" s="1"/>
  <c r="Y43" i="10" s="1"/>
  <c r="Z43" i="10" s="1"/>
  <c r="V75" i="10"/>
  <c r="W75" i="10" s="1"/>
  <c r="X75" i="10" s="1"/>
  <c r="Y75" i="10" s="1"/>
  <c r="Z75" i="10" s="1"/>
  <c r="V64" i="10"/>
  <c r="W64" i="10" s="1"/>
  <c r="X64" i="10" s="1"/>
  <c r="Y64" i="10" s="1"/>
  <c r="Z64" i="10" s="1"/>
  <c r="V82" i="10"/>
  <c r="W82" i="10" s="1"/>
  <c r="X82" i="10" s="1"/>
  <c r="Y82" i="10" s="1"/>
  <c r="Z82" i="10" s="1"/>
  <c r="V5" i="10"/>
  <c r="W5" i="10" s="1"/>
  <c r="X5" i="10" s="1"/>
  <c r="Y5" i="10" s="1"/>
  <c r="Z5" i="10" s="1"/>
  <c r="V69" i="10"/>
  <c r="W69" i="10" s="1"/>
  <c r="X69" i="10" s="1"/>
  <c r="Y69" i="10" s="1"/>
  <c r="Z69" i="10" s="1"/>
  <c r="D32" i="31"/>
  <c r="V80" i="31"/>
  <c r="V79" i="31"/>
  <c r="D50" i="31"/>
  <c r="D75" i="31"/>
  <c r="V69" i="32"/>
  <c r="V54" i="32"/>
  <c r="G148" i="33"/>
  <c r="G56" i="33" s="1"/>
  <c r="B27" i="33"/>
  <c r="E151" i="33"/>
  <c r="E61" i="33" s="1"/>
  <c r="F148" i="33"/>
  <c r="F56" i="33" s="1"/>
  <c r="B149" i="33"/>
  <c r="B57" i="33" s="1"/>
  <c r="B150" i="33"/>
  <c r="B58" i="33" s="1"/>
  <c r="B188" i="33"/>
  <c r="B28" i="33" s="1"/>
  <c r="B153" i="33"/>
  <c r="B63" i="33" s="1"/>
  <c r="V25" i="32"/>
  <c r="D151" i="33"/>
  <c r="D61" i="33" s="1"/>
  <c r="E148" i="33"/>
  <c r="E56" i="33" s="1"/>
  <c r="C148" i="33"/>
  <c r="C56" i="33" s="1"/>
  <c r="D148" i="33"/>
  <c r="D56" i="33" s="1"/>
  <c r="V41" i="32"/>
  <c r="G151" i="33"/>
  <c r="G61" i="33" s="1"/>
  <c r="B148" i="33"/>
  <c r="B56" i="33" s="1"/>
  <c r="B152" i="33"/>
  <c r="B62" i="33" s="1"/>
  <c r="C151" i="33"/>
  <c r="C61" i="33" s="1"/>
  <c r="V60" i="32"/>
  <c r="D44" i="32"/>
  <c r="E15" i="32" s="1"/>
  <c r="V20" i="32"/>
  <c r="D21" i="32"/>
  <c r="V5" i="32"/>
  <c r="V61" i="32"/>
  <c r="D5" i="32"/>
  <c r="D37" i="32"/>
  <c r="V64" i="32"/>
  <c r="V13" i="32"/>
  <c r="D28" i="32"/>
  <c r="D48" i="32"/>
  <c r="E52" i="10"/>
  <c r="E25" i="10"/>
  <c r="V42" i="32"/>
  <c r="V70" i="32"/>
  <c r="V31" i="32"/>
  <c r="V56" i="32"/>
  <c r="V52" i="32"/>
  <c r="D74" i="32"/>
  <c r="D12" i="32"/>
  <c r="D17" i="32"/>
  <c r="V45" i="32"/>
  <c r="V28" i="32"/>
  <c r="V30" i="32"/>
  <c r="V76" i="32"/>
  <c r="V63" i="32"/>
  <c r="D54" i="32"/>
  <c r="D29" i="32"/>
  <c r="D32" i="32"/>
  <c r="D84" i="32"/>
  <c r="D23" i="32"/>
  <c r="D13" i="32"/>
  <c r="D83" i="32"/>
  <c r="E83" i="32" s="1"/>
  <c r="D46" i="32"/>
  <c r="E67" i="10"/>
  <c r="E27" i="10"/>
  <c r="E6" i="10"/>
  <c r="E71" i="10"/>
  <c r="E73" i="10"/>
  <c r="E60" i="10"/>
  <c r="E43" i="10"/>
  <c r="E69" i="10"/>
  <c r="E4" i="10"/>
  <c r="E8" i="10"/>
  <c r="E36" i="10"/>
  <c r="E9" i="10"/>
  <c r="E76" i="10"/>
  <c r="E58" i="10"/>
  <c r="E57" i="10"/>
  <c r="E62" i="10"/>
  <c r="V49" i="10"/>
  <c r="W49" i="10" s="1"/>
  <c r="X49" i="10" s="1"/>
  <c r="Y49" i="10" s="1"/>
  <c r="Z49" i="10" s="1"/>
  <c r="V6" i="10"/>
  <c r="W6" i="10" s="1"/>
  <c r="X6" i="10" s="1"/>
  <c r="Y6" i="10" s="1"/>
  <c r="Z6" i="10" s="1"/>
  <c r="V70" i="10"/>
  <c r="W70" i="10" s="1"/>
  <c r="X70" i="10" s="1"/>
  <c r="Y70" i="10" s="1"/>
  <c r="Z70" i="10" s="1"/>
  <c r="V33" i="10"/>
  <c r="W33" i="10" s="1"/>
  <c r="X33" i="10" s="1"/>
  <c r="Y33" i="10" s="1"/>
  <c r="Z33" i="10" s="1"/>
  <c r="V26" i="10"/>
  <c r="W26" i="10" s="1"/>
  <c r="X26" i="10" s="1"/>
  <c r="Y26" i="10" s="1"/>
  <c r="Z26" i="10" s="1"/>
  <c r="V18" i="10"/>
  <c r="W18" i="10" s="1"/>
  <c r="X18" i="10" s="1"/>
  <c r="Y18" i="10" s="1"/>
  <c r="Z18" i="10" s="1"/>
  <c r="V40" i="10"/>
  <c r="W40" i="10" s="1"/>
  <c r="X40" i="10" s="1"/>
  <c r="Y40" i="10" s="1"/>
  <c r="Z40" i="10" s="1"/>
  <c r="V7" i="10"/>
  <c r="W7" i="10" s="1"/>
  <c r="X7" i="10" s="1"/>
  <c r="Y7" i="10" s="1"/>
  <c r="Z7" i="10" s="1"/>
  <c r="V23" i="10"/>
  <c r="W23" i="10" s="1"/>
  <c r="X23" i="10" s="1"/>
  <c r="Y23" i="10" s="1"/>
  <c r="Z23" i="10" s="1"/>
  <c r="V39" i="10"/>
  <c r="W39" i="10" s="1"/>
  <c r="X39" i="10" s="1"/>
  <c r="Y39" i="10" s="1"/>
  <c r="Z39" i="10" s="1"/>
  <c r="V55" i="10"/>
  <c r="W55" i="10" s="1"/>
  <c r="X55" i="10" s="1"/>
  <c r="Y55" i="10" s="1"/>
  <c r="Z55" i="10" s="1"/>
  <c r="V71" i="10"/>
  <c r="W71" i="10" s="1"/>
  <c r="X71" i="10" s="1"/>
  <c r="Y71" i="10" s="1"/>
  <c r="Z71" i="10" s="1"/>
  <c r="V8" i="10"/>
  <c r="W8" i="10" s="1"/>
  <c r="X8" i="10" s="1"/>
  <c r="Y8" i="10" s="1"/>
  <c r="Z8" i="10" s="1"/>
  <c r="V29" i="10"/>
  <c r="W29" i="10" s="1"/>
  <c r="X29" i="10" s="1"/>
  <c r="Y29" i="10" s="1"/>
  <c r="Z29" i="10" s="1"/>
  <c r="V50" i="10"/>
  <c r="W50" i="10" s="1"/>
  <c r="X50" i="10" s="1"/>
  <c r="Y50" i="10" s="1"/>
  <c r="Z50" i="10" s="1"/>
  <c r="V72" i="10"/>
  <c r="W72" i="10" s="1"/>
  <c r="X72" i="10" s="1"/>
  <c r="Y72" i="10" s="1"/>
  <c r="Z72" i="10" s="1"/>
  <c r="V14" i="10"/>
  <c r="W14" i="10" s="1"/>
  <c r="X14" i="10" s="1"/>
  <c r="Y14" i="10" s="1"/>
  <c r="Z14" i="10" s="1"/>
  <c r="V36" i="10"/>
  <c r="W36" i="10" s="1"/>
  <c r="X36" i="10" s="1"/>
  <c r="Y36" i="10" s="1"/>
  <c r="Z36" i="10" s="1"/>
  <c r="V57" i="10"/>
  <c r="W57" i="10" s="1"/>
  <c r="X57" i="10" s="1"/>
  <c r="Y57" i="10" s="1"/>
  <c r="Z57" i="10" s="1"/>
  <c r="V78" i="10"/>
  <c r="W78" i="10" s="1"/>
  <c r="X78" i="10" s="1"/>
  <c r="Y78" i="10" s="1"/>
  <c r="Z78" i="10" s="1"/>
  <c r="V16" i="10"/>
  <c r="W16" i="10" s="1"/>
  <c r="X16" i="10" s="1"/>
  <c r="Y16" i="10" s="1"/>
  <c r="Z16" i="10" s="1"/>
  <c r="V37" i="10"/>
  <c r="W37" i="10" s="1"/>
  <c r="X37" i="10" s="1"/>
  <c r="Y37" i="10" s="1"/>
  <c r="Z37" i="10" s="1"/>
  <c r="V58" i="10"/>
  <c r="W58" i="10" s="1"/>
  <c r="X58" i="10" s="1"/>
  <c r="Y58" i="10" s="1"/>
  <c r="Z58" i="10" s="1"/>
  <c r="V80" i="10"/>
  <c r="W80" i="10" s="1"/>
  <c r="X80" i="10" s="1"/>
  <c r="Y80" i="10" s="1"/>
  <c r="Z80" i="10" s="1"/>
  <c r="V81" i="10"/>
  <c r="W81" i="10" s="1"/>
  <c r="X81" i="10" s="1"/>
  <c r="Y81" i="10" s="1"/>
  <c r="Z81" i="10" s="1"/>
  <c r="V65" i="10"/>
  <c r="W65" i="10" s="1"/>
  <c r="X65" i="10" s="1"/>
  <c r="Y65" i="10" s="1"/>
  <c r="Z65" i="10" s="1"/>
  <c r="V54" i="10"/>
  <c r="W54" i="10" s="1"/>
  <c r="X54" i="10" s="1"/>
  <c r="Y54" i="10" s="1"/>
  <c r="Z54" i="10" s="1"/>
  <c r="V27" i="10"/>
  <c r="W27" i="10" s="1"/>
  <c r="X27" i="10" s="1"/>
  <c r="Y27" i="10" s="1"/>
  <c r="Z27" i="10" s="1"/>
  <c r="V56" i="10"/>
  <c r="W56" i="10" s="1"/>
  <c r="X56" i="10" s="1"/>
  <c r="Y56" i="10" s="1"/>
  <c r="Z56" i="10" s="1"/>
  <c r="V77" i="10"/>
  <c r="W77" i="10" s="1"/>
  <c r="X77" i="10" s="1"/>
  <c r="Y77" i="10" s="1"/>
  <c r="Z77" i="10" s="1"/>
  <c r="V20" i="10"/>
  <c r="W20" i="10" s="1"/>
  <c r="X20" i="10" s="1"/>
  <c r="Y20" i="10" s="1"/>
  <c r="Z20" i="10" s="1"/>
  <c r="V41" i="10"/>
  <c r="W41" i="10" s="1"/>
  <c r="X41" i="10" s="1"/>
  <c r="Y41" i="10" s="1"/>
  <c r="Z41" i="10" s="1"/>
  <c r="V62" i="10"/>
  <c r="W62" i="10" s="1"/>
  <c r="X62" i="10" s="1"/>
  <c r="Y62" i="10" s="1"/>
  <c r="Z62" i="10" s="1"/>
  <c r="V84" i="10"/>
  <c r="W84" i="10" s="1"/>
  <c r="X84" i="10" s="1"/>
  <c r="Y84" i="10" s="1"/>
  <c r="Z84" i="10" s="1"/>
  <c r="V21" i="10"/>
  <c r="W21" i="10" s="1"/>
  <c r="X21" i="10" s="1"/>
  <c r="Y21" i="10" s="1"/>
  <c r="Z21" i="10" s="1"/>
  <c r="V42" i="10"/>
  <c r="W42" i="10" s="1"/>
  <c r="X42" i="10" s="1"/>
  <c r="Y42" i="10" s="1"/>
  <c r="Z42" i="10" s="1"/>
  <c r="V17" i="10"/>
  <c r="W17" i="10" s="1"/>
  <c r="X17" i="10" s="1"/>
  <c r="Y17" i="10" s="1"/>
  <c r="Z17" i="10" s="1"/>
  <c r="V28" i="10"/>
  <c r="W28" i="10" s="1"/>
  <c r="X28" i="10" s="1"/>
  <c r="Y28" i="10" s="1"/>
  <c r="Z28" i="10" s="1"/>
  <c r="V76" i="10"/>
  <c r="W76" i="10" s="1"/>
  <c r="X76" i="10" s="1"/>
  <c r="Y76" i="10" s="1"/>
  <c r="Z76" i="10" s="1"/>
  <c r="V11" i="10"/>
  <c r="W11" i="10" s="1"/>
  <c r="X11" i="10" s="1"/>
  <c r="Y11" i="10" s="1"/>
  <c r="Z11" i="10" s="1"/>
  <c r="V59" i="10"/>
  <c r="W59" i="10" s="1"/>
  <c r="X59" i="10" s="1"/>
  <c r="Y59" i="10" s="1"/>
  <c r="Z59" i="10" s="1"/>
  <c r="V13" i="10"/>
  <c r="W13" i="10" s="1"/>
  <c r="X13" i="10" s="1"/>
  <c r="Y13" i="10" s="1"/>
  <c r="Z13" i="10" s="1"/>
  <c r="V34" i="10"/>
  <c r="W34" i="10" s="1"/>
  <c r="X34" i="10" s="1"/>
  <c r="Y34" i="10" s="1"/>
  <c r="Z34" i="10" s="1"/>
  <c r="V15" i="10"/>
  <c r="W15" i="10" s="1"/>
  <c r="X15" i="10" s="1"/>
  <c r="Y15" i="10" s="1"/>
  <c r="Z15" i="10" s="1"/>
  <c r="V31" i="10"/>
  <c r="W31" i="10" s="1"/>
  <c r="X31" i="10" s="1"/>
  <c r="Y31" i="10" s="1"/>
  <c r="Z31" i="10" s="1"/>
  <c r="V47" i="10"/>
  <c r="W47" i="10" s="1"/>
  <c r="X47" i="10" s="1"/>
  <c r="Y47" i="10" s="1"/>
  <c r="Z47" i="10" s="1"/>
  <c r="V63" i="10"/>
  <c r="W63" i="10" s="1"/>
  <c r="X63" i="10" s="1"/>
  <c r="Y63" i="10" s="1"/>
  <c r="Z63" i="10" s="1"/>
  <c r="V79" i="10"/>
  <c r="W79" i="10" s="1"/>
  <c r="X79" i="10" s="1"/>
  <c r="Y79" i="10" s="1"/>
  <c r="Z79" i="10" s="1"/>
  <c r="V61" i="10"/>
  <c r="W61" i="10" s="1"/>
  <c r="X61" i="10" s="1"/>
  <c r="Y61" i="10" s="1"/>
  <c r="Z61" i="10" s="1"/>
  <c r="V25" i="10"/>
  <c r="W25" i="10" s="1"/>
  <c r="X25" i="10" s="1"/>
  <c r="Y25" i="10" s="1"/>
  <c r="Z25" i="10" s="1"/>
  <c r="V46" i="10"/>
  <c r="W46" i="10" s="1"/>
  <c r="X46" i="10" s="1"/>
  <c r="Y46" i="10" s="1"/>
  <c r="Z46" i="10" s="1"/>
  <c r="V68" i="10"/>
  <c r="W68" i="10" s="1"/>
  <c r="X68" i="10" s="1"/>
  <c r="Y68" i="10" s="1"/>
  <c r="Z68" i="10" s="1"/>
  <c r="V48" i="10"/>
  <c r="W48" i="10" s="1"/>
  <c r="X48" i="10" s="1"/>
  <c r="Y48" i="10" s="1"/>
  <c r="Z48" i="10" s="1"/>
  <c r="V38" i="10"/>
  <c r="W38" i="10" s="1"/>
  <c r="X38" i="10" s="1"/>
  <c r="Y38" i="10" s="1"/>
  <c r="Z38" i="10" s="1"/>
  <c r="V22" i="10"/>
  <c r="W22" i="10" s="1"/>
  <c r="X22" i="10" s="1"/>
  <c r="Y22" i="10" s="1"/>
  <c r="Z22" i="10" s="1"/>
  <c r="V12" i="10"/>
  <c r="W12" i="10" s="1"/>
  <c r="X12" i="10" s="1"/>
  <c r="Y12" i="10" s="1"/>
  <c r="Z12" i="10" s="1"/>
  <c r="E56" i="10"/>
  <c r="V78" i="32"/>
  <c r="V22" i="32"/>
  <c r="V59" i="32"/>
  <c r="V62" i="32"/>
  <c r="V72" i="32"/>
  <c r="V19" i="32"/>
  <c r="V79" i="32"/>
  <c r="V51" i="32"/>
  <c r="V67" i="32"/>
  <c r="V11" i="32"/>
  <c r="V48" i="32"/>
  <c r="V47" i="32"/>
  <c r="V44" i="32"/>
  <c r="V55" i="32"/>
  <c r="V46" i="32"/>
  <c r="V73" i="32"/>
  <c r="V57" i="32"/>
  <c r="V58" i="32"/>
  <c r="V84" i="32"/>
  <c r="V74" i="32"/>
  <c r="D78" i="32"/>
  <c r="D34" i="32"/>
  <c r="D50" i="32"/>
  <c r="D76" i="32"/>
  <c r="D9" i="32"/>
  <c r="D45" i="32"/>
  <c r="D80" i="32"/>
  <c r="D7" i="32"/>
  <c r="E7" i="32" s="1"/>
  <c r="D35" i="32"/>
  <c r="D27" i="32"/>
  <c r="D73" i="32"/>
  <c r="D20" i="32"/>
  <c r="D19" i="32"/>
  <c r="D22" i="32"/>
  <c r="D65" i="32"/>
  <c r="D14" i="32"/>
  <c r="E14" i="32" s="1"/>
  <c r="D16" i="32"/>
  <c r="E13" i="10"/>
  <c r="E80" i="10"/>
  <c r="E47" i="10"/>
  <c r="E22" i="10"/>
  <c r="E10" i="10"/>
  <c r="E50" i="10"/>
  <c r="E20" i="10"/>
  <c r="E83" i="10"/>
  <c r="E41" i="10"/>
  <c r="E11" i="10"/>
  <c r="E74" i="10"/>
  <c r="E14" i="10"/>
  <c r="E24" i="10"/>
  <c r="V24" i="32"/>
  <c r="V37" i="32"/>
  <c r="V36" i="32"/>
  <c r="V14" i="32"/>
  <c r="V53" i="32"/>
  <c r="V38" i="32"/>
  <c r="V26" i="32"/>
  <c r="V29" i="32"/>
  <c r="V15" i="32"/>
  <c r="V43" i="32"/>
  <c r="V77" i="32"/>
  <c r="V32" i="32"/>
  <c r="V8" i="32"/>
  <c r="V4" i="32"/>
  <c r="V17" i="32"/>
  <c r="V12" i="32"/>
  <c r="V68" i="32"/>
  <c r="V16" i="32"/>
  <c r="V49" i="32"/>
  <c r="V35" i="32"/>
  <c r="V34" i="32"/>
  <c r="D25" i="32"/>
  <c r="D18" i="32"/>
  <c r="D40" i="32"/>
  <c r="D63" i="32"/>
  <c r="D47" i="32"/>
  <c r="E47" i="32" s="1"/>
  <c r="D81" i="32"/>
  <c r="D82" i="32"/>
  <c r="D71" i="32"/>
  <c r="D75" i="32"/>
  <c r="D68" i="32"/>
  <c r="D58" i="32"/>
  <c r="D4" i="32"/>
  <c r="D49" i="32"/>
  <c r="E49" i="32" s="1"/>
  <c r="D56" i="32"/>
  <c r="D52" i="32"/>
  <c r="D53" i="32"/>
  <c r="D30" i="32"/>
  <c r="E40" i="10"/>
  <c r="V40" i="32"/>
  <c r="V18" i="32"/>
  <c r="V66" i="32"/>
  <c r="V65" i="32"/>
  <c r="W65" i="32" s="1"/>
  <c r="V50" i="32"/>
  <c r="V7" i="32"/>
  <c r="V9" i="32"/>
  <c r="V10" i="32"/>
  <c r="V23" i="32"/>
  <c r="V39" i="32"/>
  <c r="V80" i="32"/>
  <c r="V75" i="32"/>
  <c r="W75" i="32" s="1"/>
  <c r="V33" i="32"/>
  <c r="V83" i="32"/>
  <c r="V71" i="32"/>
  <c r="V6" i="32"/>
  <c r="V27" i="32"/>
  <c r="V82" i="32"/>
  <c r="V81" i="32"/>
  <c r="V21" i="32"/>
  <c r="W21" i="32" s="1"/>
  <c r="D8" i="32"/>
  <c r="D10" i="32"/>
  <c r="D64" i="32"/>
  <c r="D43" i="32"/>
  <c r="D69" i="32"/>
  <c r="D26" i="32"/>
  <c r="D60" i="32"/>
  <c r="E60" i="32" s="1"/>
  <c r="D31" i="32"/>
  <c r="D51" i="32"/>
  <c r="D42" i="32"/>
  <c r="D55" i="32"/>
  <c r="D24" i="32"/>
  <c r="D41" i="32"/>
  <c r="D33" i="32"/>
  <c r="D39" i="32"/>
  <c r="E39" i="32" s="1"/>
  <c r="D36" i="32"/>
  <c r="D38" i="32"/>
  <c r="E64" i="10"/>
  <c r="E31" i="10"/>
  <c r="V58" i="31"/>
  <c r="D14" i="31"/>
  <c r="V77" i="31"/>
  <c r="V59" i="31"/>
  <c r="V28" i="31"/>
  <c r="V47" i="31"/>
  <c r="D21" i="31"/>
  <c r="D61" i="31"/>
  <c r="V13" i="31"/>
  <c r="D55" i="31"/>
  <c r="V33" i="31"/>
  <c r="V52" i="31"/>
  <c r="D84" i="31"/>
  <c r="V82" i="31"/>
  <c r="D70" i="31"/>
  <c r="D41" i="31"/>
  <c r="D45" i="31"/>
  <c r="D4" i="31"/>
  <c r="V66" i="31"/>
  <c r="V51" i="31"/>
  <c r="D38" i="31"/>
  <c r="V16" i="31"/>
  <c r="D43" i="31"/>
  <c r="V17" i="31"/>
  <c r="V71" i="31"/>
  <c r="D73" i="31"/>
  <c r="D78" i="31"/>
  <c r="D6" i="31"/>
  <c r="D51" i="31"/>
  <c r="V72" i="31"/>
  <c r="V5" i="31"/>
  <c r="D37" i="31"/>
  <c r="D42" i="31"/>
  <c r="D22" i="31"/>
  <c r="D12" i="31"/>
  <c r="V14" i="31"/>
  <c r="E12" i="10"/>
  <c r="E75" i="10"/>
  <c r="D61" i="32"/>
  <c r="D62" i="31"/>
  <c r="D60" i="31"/>
  <c r="D49" i="31"/>
  <c r="D67" i="31"/>
  <c r="D13" i="31"/>
  <c r="D29" i="31"/>
  <c r="V84" i="31"/>
  <c r="D9" i="31"/>
  <c r="V26" i="31"/>
  <c r="V31" i="31"/>
  <c r="D31" i="31"/>
  <c r="V61" i="31"/>
  <c r="D64" i="31"/>
  <c r="D46" i="31"/>
  <c r="V21" i="31"/>
  <c r="D8" i="31"/>
  <c r="V24" i="31"/>
  <c r="D48" i="31"/>
  <c r="V67" i="31"/>
  <c r="V10" i="31"/>
  <c r="D53" i="31"/>
  <c r="D36" i="31"/>
  <c r="V12" i="31"/>
  <c r="D54" i="31"/>
  <c r="V25" i="31"/>
  <c r="D16" i="31"/>
  <c r="V32" i="31"/>
  <c r="D58" i="31"/>
  <c r="V75" i="31"/>
  <c r="V7" i="31"/>
  <c r="V22" i="31"/>
  <c r="V38" i="31"/>
  <c r="V69" i="31"/>
  <c r="D69" i="31"/>
  <c r="V49" i="31"/>
  <c r="D30" i="31"/>
  <c r="V44" i="31"/>
  <c r="W44" i="31" s="1"/>
  <c r="X44" i="31" s="1"/>
  <c r="Y44" i="31" s="1"/>
  <c r="Z44" i="31" s="1"/>
  <c r="D66" i="31"/>
  <c r="D7" i="31"/>
  <c r="V23" i="31"/>
  <c r="D26" i="30"/>
  <c r="D59" i="31"/>
  <c r="D20" i="31"/>
  <c r="V15" i="31"/>
  <c r="V20" i="31"/>
  <c r="W20" i="31" s="1"/>
  <c r="X20" i="31" s="1"/>
  <c r="Y20" i="31" s="1"/>
  <c r="Z20" i="31" s="1"/>
  <c r="D44" i="31"/>
  <c r="V68" i="31"/>
  <c r="V29" i="31"/>
  <c r="V6" i="31"/>
  <c r="D83" i="31"/>
  <c r="D71" i="31"/>
  <c r="D35" i="31"/>
  <c r="D28" i="31"/>
  <c r="D17" i="31"/>
  <c r="V30" i="31"/>
  <c r="V73" i="31"/>
  <c r="V34" i="31"/>
  <c r="V56" i="31"/>
  <c r="D74" i="31"/>
  <c r="D19" i="31"/>
  <c r="V35" i="31"/>
  <c r="W35" i="31" s="1"/>
  <c r="X35" i="31" s="1"/>
  <c r="Y35" i="31" s="1"/>
  <c r="Z35" i="31" s="1"/>
  <c r="D57" i="31"/>
  <c r="D52" i="31"/>
  <c r="D34" i="31"/>
  <c r="V62" i="31"/>
  <c r="D5" i="31"/>
  <c r="V50" i="31"/>
  <c r="V64" i="31"/>
  <c r="D79" i="31"/>
  <c r="D26" i="31"/>
  <c r="V43" i="31"/>
  <c r="D81" i="31"/>
  <c r="V45" i="31"/>
  <c r="D56" i="31"/>
  <c r="D24" i="31"/>
  <c r="D33" i="31"/>
  <c r="V74" i="31"/>
  <c r="W74" i="31" s="1"/>
  <c r="X74" i="31" s="1"/>
  <c r="Y74" i="31" s="1"/>
  <c r="Z74" i="31" s="1"/>
  <c r="V76" i="31"/>
  <c r="V8" i="31"/>
  <c r="D39" i="31"/>
  <c r="V55" i="31"/>
  <c r="V9" i="31"/>
  <c r="V75" i="30"/>
  <c r="V37" i="31"/>
  <c r="V36" i="31"/>
  <c r="W36" i="31" s="1"/>
  <c r="X36" i="31" s="1"/>
  <c r="Y36" i="31" s="1"/>
  <c r="Z36" i="31" s="1"/>
  <c r="D10" i="31"/>
  <c r="V63" i="31"/>
  <c r="V78" i="31"/>
  <c r="D82" i="31"/>
  <c r="V11" i="31"/>
  <c r="D18" i="31"/>
  <c r="V65" i="31"/>
  <c r="D15" i="31"/>
  <c r="D80" i="31"/>
  <c r="D77" i="31"/>
  <c r="V53" i="31"/>
  <c r="D65" i="31"/>
  <c r="V41" i="31"/>
  <c r="D27" i="31"/>
  <c r="V40" i="31"/>
  <c r="D63" i="31"/>
  <c r="V83" i="31"/>
  <c r="V19" i="31"/>
  <c r="V54" i="31"/>
  <c r="V70" i="31"/>
  <c r="V4" i="31"/>
  <c r="D72" i="31"/>
  <c r="V57" i="31"/>
  <c r="V18" i="31"/>
  <c r="W18" i="31" s="1"/>
  <c r="X18" i="31" s="1"/>
  <c r="Y18" i="31" s="1"/>
  <c r="Z18" i="31" s="1"/>
  <c r="V48" i="31"/>
  <c r="D68" i="31"/>
  <c r="D11" i="31"/>
  <c r="V27" i="31"/>
  <c r="D47" i="31"/>
  <c r="D40" i="31"/>
  <c r="D25" i="31"/>
  <c r="V46" i="31"/>
  <c r="W46" i="31" s="1"/>
  <c r="X46" i="31" s="1"/>
  <c r="Y46" i="31" s="1"/>
  <c r="Z46" i="31" s="1"/>
  <c r="V81" i="31"/>
  <c r="V42" i="31"/>
  <c r="V60" i="31"/>
  <c r="D76" i="31"/>
  <c r="D23" i="31"/>
  <c r="D46" i="30"/>
  <c r="D75" i="30"/>
  <c r="V20" i="30"/>
  <c r="V55" i="30"/>
  <c r="D66" i="30"/>
  <c r="D48" i="30"/>
  <c r="V36" i="30"/>
  <c r="D18" i="30"/>
  <c r="V15" i="30"/>
  <c r="D65" i="30"/>
  <c r="D113" i="18"/>
  <c r="C47" i="17"/>
  <c r="C48" i="17" s="1"/>
  <c r="D112" i="18"/>
  <c r="C18" i="17"/>
  <c r="C19" i="17" s="1"/>
  <c r="D20" i="36"/>
  <c r="AC20" i="36" s="1"/>
  <c r="D44" i="36"/>
  <c r="AC44" i="36" s="1"/>
  <c r="D60" i="36"/>
  <c r="AC60" i="36" s="1"/>
  <c r="D69" i="36"/>
  <c r="AC69" i="36" s="1"/>
  <c r="D81" i="36"/>
  <c r="AC81" i="36" s="1"/>
  <c r="D10" i="36"/>
  <c r="AC10" i="36" s="1"/>
  <c r="D27" i="36"/>
  <c r="AC27" i="36" s="1"/>
  <c r="D46" i="36"/>
  <c r="AC46" i="36" s="1"/>
  <c r="D64" i="36"/>
  <c r="AC64" i="36" s="1"/>
  <c r="D73" i="36"/>
  <c r="AC73" i="36" s="1"/>
  <c r="D82" i="36"/>
  <c r="AC82" i="36" s="1"/>
  <c r="D19" i="36"/>
  <c r="AC19" i="36" s="1"/>
  <c r="D38" i="36"/>
  <c r="AC38" i="36" s="1"/>
  <c r="D55" i="36"/>
  <c r="AC55" i="36" s="1"/>
  <c r="D67" i="36"/>
  <c r="AC67" i="36" s="1"/>
  <c r="D77" i="36"/>
  <c r="AC77" i="36" s="1"/>
  <c r="D52" i="36"/>
  <c r="AC52" i="36" s="1"/>
  <c r="D76" i="36"/>
  <c r="AC76" i="36" s="1"/>
  <c r="D65" i="36"/>
  <c r="AC65" i="36" s="1"/>
  <c r="D12" i="36"/>
  <c r="AC12" i="36" s="1"/>
  <c r="D29" i="36"/>
  <c r="AC29" i="36" s="1"/>
  <c r="D4" i="36"/>
  <c r="AC4" i="36" s="1"/>
  <c r="D21" i="36"/>
  <c r="AC21" i="36" s="1"/>
  <c r="D5" i="36"/>
  <c r="AC5" i="36" s="1"/>
  <c r="D24" i="36"/>
  <c r="AC24" i="36" s="1"/>
  <c r="D34" i="36"/>
  <c r="AC34" i="36" s="1"/>
  <c r="D53" i="36"/>
  <c r="AC53" i="36" s="1"/>
  <c r="D72" i="36"/>
  <c r="AC72" i="36" s="1"/>
  <c r="D15" i="36"/>
  <c r="AC15" i="36" s="1"/>
  <c r="D36" i="36"/>
  <c r="AC36" i="36" s="1"/>
  <c r="D54" i="36"/>
  <c r="AC54" i="36" s="1"/>
  <c r="D17" i="36"/>
  <c r="AC17" i="36" s="1"/>
  <c r="D35" i="36"/>
  <c r="AC35" i="36" s="1"/>
  <c r="D71" i="36"/>
  <c r="AC71" i="36" s="1"/>
  <c r="D42" i="36"/>
  <c r="AC42" i="36" s="1"/>
  <c r="D7" i="36"/>
  <c r="AC7" i="36" s="1"/>
  <c r="D66" i="36"/>
  <c r="AC66" i="36" s="1"/>
  <c r="D39" i="36"/>
  <c r="AC39" i="36" s="1"/>
  <c r="D37" i="36"/>
  <c r="AC37" i="36" s="1"/>
  <c r="D56" i="36"/>
  <c r="AC56" i="36" s="1"/>
  <c r="D78" i="36"/>
  <c r="AC78" i="36" s="1"/>
  <c r="D23" i="36"/>
  <c r="AC23" i="36" s="1"/>
  <c r="D41" i="36"/>
  <c r="AC41" i="36" s="1"/>
  <c r="D58" i="36"/>
  <c r="AC58" i="36" s="1"/>
  <c r="D22" i="36"/>
  <c r="AC22" i="36" s="1"/>
  <c r="D43" i="36"/>
  <c r="AC43" i="36" s="1"/>
  <c r="D83" i="36"/>
  <c r="AC83" i="36" s="1"/>
  <c r="D63" i="36"/>
  <c r="AC63" i="36" s="1"/>
  <c r="D33" i="36"/>
  <c r="AC33" i="36" s="1"/>
  <c r="D79" i="36"/>
  <c r="AC79" i="36" s="1"/>
  <c r="D61" i="36"/>
  <c r="AC61" i="36" s="1"/>
  <c r="D31" i="36"/>
  <c r="AC31" i="36" s="1"/>
  <c r="D18" i="36"/>
  <c r="AC18" i="36" s="1"/>
  <c r="D50" i="36"/>
  <c r="AC50" i="36" s="1"/>
  <c r="D68" i="36"/>
  <c r="AC68" i="36" s="1"/>
  <c r="D11" i="36"/>
  <c r="AC11" i="36" s="1"/>
  <c r="D32" i="36"/>
  <c r="AC32" i="36" s="1"/>
  <c r="D49" i="36"/>
  <c r="AC49" i="36" s="1"/>
  <c r="D13" i="36"/>
  <c r="AC13" i="36" s="1"/>
  <c r="D30" i="36"/>
  <c r="AC30" i="36" s="1"/>
  <c r="D84" i="36"/>
  <c r="AC84" i="36" s="1"/>
  <c r="D26" i="36"/>
  <c r="AC26" i="36" s="1"/>
  <c r="D75" i="36"/>
  <c r="AC75" i="36" s="1"/>
  <c r="D16" i="36"/>
  <c r="AC16" i="36" s="1"/>
  <c r="D70" i="36"/>
  <c r="AC70" i="36" s="1"/>
  <c r="D6" i="36"/>
  <c r="AC6" i="36" s="1"/>
  <c r="D40" i="36"/>
  <c r="AC40" i="36" s="1"/>
  <c r="D48" i="36"/>
  <c r="AC48" i="36" s="1"/>
  <c r="D8" i="36"/>
  <c r="AC8" i="36" s="1"/>
  <c r="D28" i="36"/>
  <c r="AC28" i="36" s="1"/>
  <c r="D47" i="36"/>
  <c r="AC47" i="36" s="1"/>
  <c r="D59" i="36"/>
  <c r="AC59" i="36" s="1"/>
  <c r="D57" i="36"/>
  <c r="AC57" i="36" s="1"/>
  <c r="D45" i="36"/>
  <c r="AC45" i="36" s="1"/>
  <c r="D51" i="36"/>
  <c r="AC51" i="36" s="1"/>
  <c r="D62" i="36"/>
  <c r="AC62" i="36" s="1"/>
  <c r="D9" i="36"/>
  <c r="AC9" i="36" s="1"/>
  <c r="D80" i="36"/>
  <c r="AC80" i="36" s="1"/>
  <c r="D25" i="36"/>
  <c r="AC25" i="36" s="1"/>
  <c r="D74" i="36"/>
  <c r="AC74" i="36" s="1"/>
  <c r="D14" i="36"/>
  <c r="AC14" i="36" s="1"/>
  <c r="D112" i="41"/>
  <c r="D4" i="30"/>
  <c r="D20" i="30"/>
  <c r="D33" i="30"/>
  <c r="V83" i="30"/>
  <c r="V58" i="30"/>
  <c r="V69" i="30"/>
  <c r="V5" i="30"/>
  <c r="V24" i="30"/>
  <c r="V63" i="30"/>
  <c r="D37" i="30"/>
  <c r="V79" i="30"/>
  <c r="D29" i="30"/>
  <c r="D39" i="30"/>
  <c r="V39" i="30"/>
  <c r="V74" i="30"/>
  <c r="V77" i="30"/>
  <c r="V13" i="30"/>
  <c r="V32" i="30"/>
  <c r="D22" i="30"/>
  <c r="D60" i="30"/>
  <c r="D24" i="30"/>
  <c r="D41" i="30"/>
  <c r="D52" i="30"/>
  <c r="V26" i="30"/>
  <c r="D13" i="30"/>
  <c r="V7" i="30"/>
  <c r="V25" i="30"/>
  <c r="V44" i="30"/>
  <c r="W44" i="30" s="1"/>
  <c r="E17" i="10"/>
  <c r="E84" i="10"/>
  <c r="E51" i="10"/>
  <c r="E38" i="10"/>
  <c r="E26" i="10"/>
  <c r="E65" i="10"/>
  <c r="E16" i="10"/>
  <c r="E79" i="10"/>
  <c r="E37" i="10"/>
  <c r="E7" i="10"/>
  <c r="E70" i="10"/>
  <c r="D9" i="37"/>
  <c r="AC9" i="37" s="1"/>
  <c r="D38" i="37"/>
  <c r="AC38" i="37" s="1"/>
  <c r="D21" i="37"/>
  <c r="AC21" i="37" s="1"/>
  <c r="D32" i="37"/>
  <c r="AC32" i="37" s="1"/>
  <c r="D42" i="37"/>
  <c r="AC42" i="37" s="1"/>
  <c r="D55" i="37"/>
  <c r="AC55" i="37" s="1"/>
  <c r="D72" i="37"/>
  <c r="AC72" i="37" s="1"/>
  <c r="D5" i="37"/>
  <c r="AC5" i="37" s="1"/>
  <c r="D23" i="37"/>
  <c r="AC23" i="37" s="1"/>
  <c r="D45" i="37"/>
  <c r="AC45" i="37" s="1"/>
  <c r="D73" i="37"/>
  <c r="AC73" i="37" s="1"/>
  <c r="D10" i="37"/>
  <c r="AC10" i="37" s="1"/>
  <c r="D36" i="37"/>
  <c r="AC36" i="37" s="1"/>
  <c r="D51" i="37"/>
  <c r="AC51" i="37" s="1"/>
  <c r="D66" i="37"/>
  <c r="AC66" i="37" s="1"/>
  <c r="D4" i="37"/>
  <c r="AC4" i="37" s="1"/>
  <c r="D60" i="37"/>
  <c r="AC60" i="37" s="1"/>
  <c r="D15" i="37"/>
  <c r="AC15" i="37" s="1"/>
  <c r="D17" i="37"/>
  <c r="AC17" i="37" s="1"/>
  <c r="D13" i="37"/>
  <c r="AC13" i="37" s="1"/>
  <c r="D24" i="37"/>
  <c r="AC24" i="37" s="1"/>
  <c r="D34" i="37"/>
  <c r="AC34" i="37" s="1"/>
  <c r="D46" i="37"/>
  <c r="AC46" i="37" s="1"/>
  <c r="D58" i="37"/>
  <c r="AC58" i="37" s="1"/>
  <c r="D77" i="37"/>
  <c r="AC77" i="37" s="1"/>
  <c r="D8" i="37"/>
  <c r="AC8" i="37" s="1"/>
  <c r="D27" i="37"/>
  <c r="AC27" i="37" s="1"/>
  <c r="D49" i="37"/>
  <c r="AC49" i="37" s="1"/>
  <c r="D76" i="37"/>
  <c r="AC76" i="37" s="1"/>
  <c r="D14" i="37"/>
  <c r="AC14" i="37" s="1"/>
  <c r="D39" i="37"/>
  <c r="AC39" i="37" s="1"/>
  <c r="D56" i="37"/>
  <c r="AC56" i="37" s="1"/>
  <c r="D70" i="37"/>
  <c r="AC70" i="37" s="1"/>
  <c r="D53" i="37"/>
  <c r="AC53" i="37" s="1"/>
  <c r="D7" i="37"/>
  <c r="AC7" i="37" s="1"/>
  <c r="D54" i="37"/>
  <c r="AC54" i="37" s="1"/>
  <c r="D18" i="37"/>
  <c r="AC18" i="37" s="1"/>
  <c r="D30" i="37"/>
  <c r="AC30" i="37" s="1"/>
  <c r="D40" i="37"/>
  <c r="AC40" i="37" s="1"/>
  <c r="D52" i="37"/>
  <c r="AC52" i="37" s="1"/>
  <c r="D69" i="37"/>
  <c r="AC69" i="37" s="1"/>
  <c r="D82" i="37"/>
  <c r="AC82" i="37" s="1"/>
  <c r="D20" i="37"/>
  <c r="AC20" i="37" s="1"/>
  <c r="D41" i="37"/>
  <c r="AC41" i="37" s="1"/>
  <c r="D68" i="37"/>
  <c r="AC68" i="37" s="1"/>
  <c r="D6" i="37"/>
  <c r="AC6" i="37" s="1"/>
  <c r="D29" i="37"/>
  <c r="AC29" i="37" s="1"/>
  <c r="D47" i="37"/>
  <c r="AC47" i="37" s="1"/>
  <c r="D62" i="37"/>
  <c r="AC62" i="37" s="1"/>
  <c r="D80" i="37"/>
  <c r="AC80" i="37" s="1"/>
  <c r="D26" i="37"/>
  <c r="AC26" i="37" s="1"/>
  <c r="D79" i="37"/>
  <c r="AC79" i="37" s="1"/>
  <c r="D83" i="37"/>
  <c r="AC83" i="37" s="1"/>
  <c r="D74" i="37"/>
  <c r="AC74" i="37" s="1"/>
  <c r="D44" i="37"/>
  <c r="AC44" i="37" s="1"/>
  <c r="D28" i="37"/>
  <c r="AC28" i="37" s="1"/>
  <c r="D75" i="37"/>
  <c r="AC75" i="37" s="1"/>
  <c r="D78" i="37"/>
  <c r="AC78" i="37" s="1"/>
  <c r="D33" i="37"/>
  <c r="AC33" i="37" s="1"/>
  <c r="D84" i="37"/>
  <c r="AC84" i="37" s="1"/>
  <c r="D37" i="37"/>
  <c r="AC37" i="37" s="1"/>
  <c r="D12" i="37"/>
  <c r="AC12" i="37" s="1"/>
  <c r="D25" i="37"/>
  <c r="AC25" i="37" s="1"/>
  <c r="D22" i="37"/>
  <c r="AC22" i="37" s="1"/>
  <c r="D64" i="37"/>
  <c r="AC64" i="37" s="1"/>
  <c r="D71" i="37"/>
  <c r="AC71" i="37" s="1"/>
  <c r="D19" i="37"/>
  <c r="AC19" i="37" s="1"/>
  <c r="D16" i="37"/>
  <c r="AC16" i="37" s="1"/>
  <c r="D65" i="37"/>
  <c r="AC65" i="37" s="1"/>
  <c r="D61" i="37"/>
  <c r="AC61" i="37" s="1"/>
  <c r="D59" i="37"/>
  <c r="AC59" i="37" s="1"/>
  <c r="D67" i="37"/>
  <c r="AC67" i="37" s="1"/>
  <c r="D43" i="37"/>
  <c r="AC43" i="37" s="1"/>
  <c r="D35" i="37"/>
  <c r="AC35" i="37" s="1"/>
  <c r="D50" i="37"/>
  <c r="AC50" i="37" s="1"/>
  <c r="D63" i="37"/>
  <c r="AC63" i="37" s="1"/>
  <c r="D48" i="37"/>
  <c r="AC48" i="37" s="1"/>
  <c r="D57" i="37"/>
  <c r="AC57" i="37" s="1"/>
  <c r="D31" i="37"/>
  <c r="AC31" i="37" s="1"/>
  <c r="D81" i="37"/>
  <c r="AC81" i="37" s="1"/>
  <c r="D11" i="37"/>
  <c r="AC11" i="37" s="1"/>
  <c r="E28" i="10"/>
  <c r="D27" i="30"/>
  <c r="D68" i="30"/>
  <c r="D76" i="30"/>
  <c r="D83" i="30"/>
  <c r="V50" i="30"/>
  <c r="D40" i="30"/>
  <c r="D59" i="30"/>
  <c r="V33" i="30"/>
  <c r="D9" i="30"/>
  <c r="V82" i="30"/>
  <c r="D70" i="30"/>
  <c r="D32" i="30"/>
  <c r="D79" i="30"/>
  <c r="D74" i="30"/>
  <c r="D78" i="30"/>
  <c r="V70" i="30"/>
  <c r="V51" i="30"/>
  <c r="V18" i="30"/>
  <c r="V53" i="30"/>
  <c r="V72" i="30"/>
  <c r="V8" i="30"/>
  <c r="D47" i="30"/>
  <c r="D11" i="30"/>
  <c r="D80" i="30"/>
  <c r="D8" i="30"/>
  <c r="D23" i="30"/>
  <c r="V67" i="30"/>
  <c r="V42" i="30"/>
  <c r="V61" i="30"/>
  <c r="V80" i="30"/>
  <c r="V16" i="30"/>
  <c r="D69" i="30"/>
  <c r="D31" i="30"/>
  <c r="V47" i="30"/>
  <c r="D25" i="30"/>
  <c r="D36" i="30"/>
  <c r="V14" i="30"/>
  <c r="V66" i="30"/>
  <c r="V73" i="30"/>
  <c r="V9" i="30"/>
  <c r="V28" i="30"/>
  <c r="E33" i="10"/>
  <c r="E66" i="10"/>
  <c r="E32" i="10"/>
  <c r="E53" i="10"/>
  <c r="E23" i="10"/>
  <c r="E77" i="10"/>
  <c r="E34" i="10"/>
  <c r="E44" i="10"/>
  <c r="F44" i="10" s="1"/>
  <c r="G44" i="10" s="1"/>
  <c r="H44" i="10" s="1"/>
  <c r="V54" i="30"/>
  <c r="V31" i="30"/>
  <c r="V49" i="30"/>
  <c r="D14" i="30"/>
  <c r="V65" i="30"/>
  <c r="D81" i="30"/>
  <c r="V62" i="30"/>
  <c r="V52" i="30"/>
  <c r="D34" i="30"/>
  <c r="V81" i="30"/>
  <c r="D44" i="30"/>
  <c r="E44" i="30" s="1"/>
  <c r="F44" i="30" s="1"/>
  <c r="G44" i="30" s="1"/>
  <c r="H44" i="30" s="1"/>
  <c r="D5" i="30"/>
  <c r="D53" i="30"/>
  <c r="D51" i="30"/>
  <c r="D64" i="30"/>
  <c r="V78" i="30"/>
  <c r="V6" i="30"/>
  <c r="V19" i="30"/>
  <c r="V37" i="30"/>
  <c r="V56" i="30"/>
  <c r="D62" i="30"/>
  <c r="D21" i="30"/>
  <c r="D72" i="30"/>
  <c r="D61" i="30"/>
  <c r="D73" i="30"/>
  <c r="V38" i="30"/>
  <c r="V35" i="30"/>
  <c r="V27" i="30"/>
  <c r="V45" i="30"/>
  <c r="V64" i="30"/>
  <c r="D82" i="30"/>
  <c r="D43" i="30"/>
  <c r="D84" i="30"/>
  <c r="D77" i="30"/>
  <c r="V30" i="30"/>
  <c r="D6" i="30"/>
  <c r="V59" i="30"/>
  <c r="V34" i="30"/>
  <c r="V57" i="30"/>
  <c r="V76" i="30"/>
  <c r="V12" i="30"/>
  <c r="E49" i="10"/>
  <c r="E19" i="10"/>
  <c r="E82" i="10"/>
  <c r="E61" i="10"/>
  <c r="E48" i="10"/>
  <c r="E5" i="10"/>
  <c r="E72" i="10"/>
  <c r="E39" i="10"/>
  <c r="E18" i="10"/>
  <c r="D38" i="38"/>
  <c r="AC38" i="38" s="1"/>
  <c r="D77" i="38"/>
  <c r="AC77" i="38" s="1"/>
  <c r="D43" i="38"/>
  <c r="AC43" i="38" s="1"/>
  <c r="D22" i="38"/>
  <c r="AC22" i="38" s="1"/>
  <c r="D62" i="38"/>
  <c r="AC62" i="38" s="1"/>
  <c r="D57" i="38"/>
  <c r="AC57" i="38" s="1"/>
  <c r="D18" i="38"/>
  <c r="AC18" i="38" s="1"/>
  <c r="D37" i="38"/>
  <c r="AC37" i="38" s="1"/>
  <c r="D55" i="38"/>
  <c r="AC55" i="38" s="1"/>
  <c r="D71" i="38"/>
  <c r="AC71" i="38" s="1"/>
  <c r="D4" i="38"/>
  <c r="AC4" i="38" s="1"/>
  <c r="D21" i="38"/>
  <c r="AC21" i="38" s="1"/>
  <c r="D42" i="38"/>
  <c r="AC42" i="38" s="1"/>
  <c r="D61" i="38"/>
  <c r="AC61" i="38" s="1"/>
  <c r="D81" i="38"/>
  <c r="AC81" i="38" s="1"/>
  <c r="D9" i="38"/>
  <c r="AC9" i="38" s="1"/>
  <c r="D34" i="38"/>
  <c r="AC34" i="38" s="1"/>
  <c r="D58" i="38"/>
  <c r="AC58" i="38" s="1"/>
  <c r="D79" i="38"/>
  <c r="AC79" i="38" s="1"/>
  <c r="D15" i="38"/>
  <c r="AC15" i="38" s="1"/>
  <c r="D35" i="38"/>
  <c r="AC35" i="38" s="1"/>
  <c r="D54" i="38"/>
  <c r="AC54" i="38" s="1"/>
  <c r="D80" i="38"/>
  <c r="AC80" i="38" s="1"/>
  <c r="D68" i="38"/>
  <c r="AC68" i="38" s="1"/>
  <c r="D7" i="38"/>
  <c r="AC7" i="38" s="1"/>
  <c r="D25" i="38"/>
  <c r="AC25" i="38" s="1"/>
  <c r="D41" i="38"/>
  <c r="AC41" i="38" s="1"/>
  <c r="D59" i="38"/>
  <c r="AC59" i="38" s="1"/>
  <c r="D75" i="38"/>
  <c r="AC75" i="38" s="1"/>
  <c r="D6" i="38"/>
  <c r="AC6" i="38" s="1"/>
  <c r="D26" i="38"/>
  <c r="AC26" i="38" s="1"/>
  <c r="D47" i="38"/>
  <c r="AC47" i="38" s="1"/>
  <c r="D66" i="38"/>
  <c r="AC66" i="38" s="1"/>
  <c r="D8" i="38"/>
  <c r="AC8" i="38" s="1"/>
  <c r="D19" i="38"/>
  <c r="AC19" i="38" s="1"/>
  <c r="D39" i="38"/>
  <c r="AC39" i="38" s="1"/>
  <c r="D64" i="38"/>
  <c r="AC64" i="38" s="1"/>
  <c r="D83" i="38"/>
  <c r="AC83" i="38" s="1"/>
  <c r="D20" i="38"/>
  <c r="AC20" i="38" s="1"/>
  <c r="D40" i="38"/>
  <c r="AC40" i="38" s="1"/>
  <c r="D60" i="38"/>
  <c r="AC60" i="38" s="1"/>
  <c r="D73" i="38"/>
  <c r="AC73" i="38" s="1"/>
  <c r="D48" i="38"/>
  <c r="AC48" i="38" s="1"/>
  <c r="D14" i="38"/>
  <c r="AC14" i="38" s="1"/>
  <c r="D33" i="38"/>
  <c r="AC33" i="38" s="1"/>
  <c r="D49" i="38"/>
  <c r="AC49" i="38" s="1"/>
  <c r="D67" i="38"/>
  <c r="AC67" i="38" s="1"/>
  <c r="D82" i="38"/>
  <c r="AC82" i="38" s="1"/>
  <c r="D16" i="38"/>
  <c r="AC16" i="38" s="1"/>
  <c r="D36" i="38"/>
  <c r="AC36" i="38" s="1"/>
  <c r="D56" i="38"/>
  <c r="AC56" i="38" s="1"/>
  <c r="D76" i="38"/>
  <c r="AC76" i="38" s="1"/>
  <c r="D17" i="38"/>
  <c r="AC17" i="38" s="1"/>
  <c r="D28" i="38"/>
  <c r="AC28" i="38" s="1"/>
  <c r="D53" i="38"/>
  <c r="AC53" i="38" s="1"/>
  <c r="D74" i="38"/>
  <c r="AC74" i="38" s="1"/>
  <c r="D45" i="38"/>
  <c r="AC45" i="38" s="1"/>
  <c r="D31" i="38"/>
  <c r="AC31" i="38" s="1"/>
  <c r="D23" i="38"/>
  <c r="AC23" i="38" s="1"/>
  <c r="D10" i="38"/>
  <c r="AC10" i="38" s="1"/>
  <c r="D50" i="38"/>
  <c r="AC50" i="38" s="1"/>
  <c r="D32" i="38"/>
  <c r="AC32" i="38" s="1"/>
  <c r="D84" i="38"/>
  <c r="AC84" i="38" s="1"/>
  <c r="D11" i="38"/>
  <c r="AC11" i="38" s="1"/>
  <c r="D72" i="38"/>
  <c r="AC72" i="38" s="1"/>
  <c r="D30" i="38"/>
  <c r="AC30" i="38" s="1"/>
  <c r="D63" i="38"/>
  <c r="AC63" i="38" s="1"/>
  <c r="D51" i="38"/>
  <c r="AC51" i="38" s="1"/>
  <c r="D44" i="38"/>
  <c r="AC44" i="38" s="1"/>
  <c r="D24" i="38"/>
  <c r="AC24" i="38" s="1"/>
  <c r="D65" i="38"/>
  <c r="AC65" i="38" s="1"/>
  <c r="D27" i="38"/>
  <c r="AC27" i="38" s="1"/>
  <c r="D78" i="38"/>
  <c r="AC78" i="38" s="1"/>
  <c r="D69" i="38"/>
  <c r="AC69" i="38" s="1"/>
  <c r="D70" i="38"/>
  <c r="AC70" i="38" s="1"/>
  <c r="D29" i="38"/>
  <c r="AC29" i="38" s="1"/>
  <c r="D12" i="38"/>
  <c r="AC12" i="38" s="1"/>
  <c r="D13" i="38"/>
  <c r="AC13" i="38" s="1"/>
  <c r="D5" i="38"/>
  <c r="AC5" i="38" s="1"/>
  <c r="D46" i="38"/>
  <c r="AC46" i="38" s="1"/>
  <c r="D52" i="38"/>
  <c r="AC52" i="38" s="1"/>
  <c r="D57" i="32"/>
  <c r="D72" i="32"/>
  <c r="D70" i="32"/>
  <c r="D66" i="32"/>
  <c r="D59" i="32"/>
  <c r="D67" i="32"/>
  <c r="D6" i="32"/>
  <c r="D62" i="32"/>
  <c r="D11" i="32"/>
  <c r="D79" i="32"/>
  <c r="D77" i="32"/>
  <c r="E45" i="10"/>
  <c r="E15" i="10"/>
  <c r="E78" i="10"/>
  <c r="E30" i="10"/>
  <c r="E46" i="10"/>
  <c r="C18" i="40"/>
  <c r="C19" i="40" s="1"/>
  <c r="D112" i="42"/>
  <c r="E59" i="10"/>
  <c r="V68" i="30"/>
  <c r="V43" i="30"/>
  <c r="D56" i="30"/>
  <c r="D30" i="30"/>
  <c r="V84" i="30"/>
  <c r="D50" i="30"/>
  <c r="D19" i="30"/>
  <c r="D7" i="30"/>
  <c r="D42" i="30"/>
  <c r="V17" i="30"/>
  <c r="D15" i="30"/>
  <c r="D55" i="30"/>
  <c r="D17" i="30"/>
  <c r="D38" i="30"/>
  <c r="D49" i="30"/>
  <c r="V71" i="30"/>
  <c r="D10" i="30"/>
  <c r="V4" i="30"/>
  <c r="V21" i="30"/>
  <c r="V40" i="30"/>
  <c r="D28" i="30"/>
  <c r="D63" i="30"/>
  <c r="D35" i="30"/>
  <c r="D45" i="30"/>
  <c r="D54" i="30"/>
  <c r="V46" i="30"/>
  <c r="D16" i="30"/>
  <c r="V11" i="30"/>
  <c r="V29" i="30"/>
  <c r="V48" i="30"/>
  <c r="D57" i="30"/>
  <c r="D12" i="30"/>
  <c r="D67" i="30"/>
  <c r="D58" i="30"/>
  <c r="D71" i="30"/>
  <c r="V10" i="30"/>
  <c r="V22" i="30"/>
  <c r="V23" i="30"/>
  <c r="V41" i="30"/>
  <c r="E68" i="10"/>
  <c r="E35" i="10"/>
  <c r="E63" i="10"/>
  <c r="E21" i="10"/>
  <c r="E55" i="10"/>
  <c r="E54" i="10"/>
  <c r="E42" i="10"/>
  <c r="E81" i="10"/>
  <c r="E18" i="18"/>
  <c r="C137" i="18" s="1"/>
  <c r="E18" i="33"/>
  <c r="C137" i="33" s="1"/>
  <c r="C145" i="33" s="1"/>
  <c r="F8" i="18"/>
  <c r="E8" i="18" s="1"/>
  <c r="C124" i="18" s="1"/>
  <c r="C133" i="18" s="1"/>
  <c r="E81" i="26"/>
  <c r="AD81" i="26" s="1"/>
  <c r="E35" i="26"/>
  <c r="AD35" i="26" s="1"/>
  <c r="E8" i="26"/>
  <c r="AD8" i="26" s="1"/>
  <c r="E70" i="26"/>
  <c r="AD70" i="26" s="1"/>
  <c r="E58" i="26"/>
  <c r="AD58" i="26" s="1"/>
  <c r="E43" i="26"/>
  <c r="AD43" i="26" s="1"/>
  <c r="E27" i="26"/>
  <c r="AD27" i="26" s="1"/>
  <c r="E14" i="26"/>
  <c r="AD14" i="26" s="1"/>
  <c r="E76" i="26"/>
  <c r="AD76" i="26" s="1"/>
  <c r="E60" i="26"/>
  <c r="AD60" i="26" s="1"/>
  <c r="E45" i="26"/>
  <c r="AD45" i="26" s="1"/>
  <c r="E30" i="26"/>
  <c r="AD30" i="26" s="1"/>
  <c r="E11" i="26"/>
  <c r="AD11" i="26" s="1"/>
  <c r="E79" i="26"/>
  <c r="AD79" i="26" s="1"/>
  <c r="E62" i="26"/>
  <c r="AD62" i="26" s="1"/>
  <c r="E44" i="26"/>
  <c r="AD44" i="26" s="1"/>
  <c r="E29" i="26"/>
  <c r="AD29" i="26" s="1"/>
  <c r="E13" i="26"/>
  <c r="AD13" i="26" s="1"/>
  <c r="E84" i="26"/>
  <c r="AD84" i="26" s="1"/>
  <c r="E67" i="26"/>
  <c r="AD67" i="26" s="1"/>
  <c r="E51" i="26"/>
  <c r="AD51" i="26" s="1"/>
  <c r="E32" i="26"/>
  <c r="AD32" i="26" s="1"/>
  <c r="E18" i="26"/>
  <c r="AD18" i="26" s="1"/>
  <c r="E63" i="26"/>
  <c r="AD63" i="26" s="1"/>
  <c r="E50" i="26"/>
  <c r="AD50" i="26" s="1"/>
  <c r="E20" i="26"/>
  <c r="AD20" i="26" s="1"/>
  <c r="E4" i="26"/>
  <c r="AD4" i="26" s="1"/>
  <c r="E69" i="26"/>
  <c r="AD69" i="26" s="1"/>
  <c r="E53" i="26"/>
  <c r="AD53" i="26" s="1"/>
  <c r="E38" i="26"/>
  <c r="AD38" i="26" s="1"/>
  <c r="E19" i="26"/>
  <c r="AD19" i="26" s="1"/>
  <c r="E6" i="26"/>
  <c r="AD6" i="26" s="1"/>
  <c r="E72" i="26"/>
  <c r="AD72" i="26" s="1"/>
  <c r="E52" i="26"/>
  <c r="AD52" i="26" s="1"/>
  <c r="E37" i="26"/>
  <c r="AD37" i="26" s="1"/>
  <c r="E22" i="26"/>
  <c r="AD22" i="26" s="1"/>
  <c r="E74" i="26"/>
  <c r="AD74" i="26" s="1"/>
  <c r="E59" i="26"/>
  <c r="AD59" i="26" s="1"/>
  <c r="E40" i="26"/>
  <c r="AD40" i="26" s="1"/>
  <c r="E24" i="26"/>
  <c r="AD24" i="26" s="1"/>
  <c r="E77" i="26"/>
  <c r="AD77" i="26" s="1"/>
  <c r="E61" i="26"/>
  <c r="AD61" i="26" s="1"/>
  <c r="E46" i="26"/>
  <c r="AD46" i="26" s="1"/>
  <c r="E31" i="26"/>
  <c r="AD31" i="26" s="1"/>
  <c r="E17" i="26"/>
  <c r="AD17" i="26" s="1"/>
  <c r="E80" i="26"/>
  <c r="AD80" i="26" s="1"/>
  <c r="E65" i="26"/>
  <c r="AD65" i="26" s="1"/>
  <c r="E49" i="26"/>
  <c r="AD49" i="26" s="1"/>
  <c r="E34" i="26"/>
  <c r="AD34" i="26" s="1"/>
  <c r="E16" i="26"/>
  <c r="AD16" i="26" s="1"/>
  <c r="E82" i="26"/>
  <c r="AD82" i="26" s="1"/>
  <c r="E68" i="26"/>
  <c r="AD68" i="26" s="1"/>
  <c r="E48" i="26"/>
  <c r="AD48" i="26" s="1"/>
  <c r="E33" i="26"/>
  <c r="AD33" i="26" s="1"/>
  <c r="E15" i="26"/>
  <c r="AD15" i="26" s="1"/>
  <c r="E5" i="26"/>
  <c r="AD5" i="26" s="1"/>
  <c r="E71" i="26"/>
  <c r="AD71" i="26" s="1"/>
  <c r="E55" i="26"/>
  <c r="AD55" i="26" s="1"/>
  <c r="E36" i="26"/>
  <c r="AD36" i="26" s="1"/>
  <c r="E21" i="26"/>
  <c r="AD21" i="26" s="1"/>
  <c r="E83" i="26"/>
  <c r="AD83" i="26" s="1"/>
  <c r="E66" i="26"/>
  <c r="AD66" i="26" s="1"/>
  <c r="E54" i="26"/>
  <c r="AD54" i="26" s="1"/>
  <c r="E39" i="26"/>
  <c r="AD39" i="26" s="1"/>
  <c r="E23" i="26"/>
  <c r="AD23" i="26" s="1"/>
  <c r="E7" i="26"/>
  <c r="AD7" i="26" s="1"/>
  <c r="E73" i="26"/>
  <c r="AD73" i="26" s="1"/>
  <c r="E57" i="26"/>
  <c r="AD57" i="26" s="1"/>
  <c r="E42" i="26"/>
  <c r="AD42" i="26" s="1"/>
  <c r="E26" i="26"/>
  <c r="AD26" i="26" s="1"/>
  <c r="E9" i="26"/>
  <c r="AD9" i="26" s="1"/>
  <c r="E75" i="26"/>
  <c r="AD75" i="26" s="1"/>
  <c r="E56" i="26"/>
  <c r="AD56" i="26" s="1"/>
  <c r="E41" i="26"/>
  <c r="AD41" i="26" s="1"/>
  <c r="E25" i="26"/>
  <c r="AD25" i="26" s="1"/>
  <c r="E10" i="26"/>
  <c r="AD10" i="26" s="1"/>
  <c r="E78" i="26"/>
  <c r="AD78" i="26" s="1"/>
  <c r="E64" i="26"/>
  <c r="AD64" i="26" s="1"/>
  <c r="E47" i="26"/>
  <c r="AD47" i="26" s="1"/>
  <c r="E28" i="26"/>
  <c r="AD28" i="26" s="1"/>
  <c r="E12" i="26"/>
  <c r="AD12" i="26" s="1"/>
  <c r="C36" i="39" l="1"/>
  <c r="W27" i="31"/>
  <c r="X27" i="31" s="1"/>
  <c r="Y27" i="31" s="1"/>
  <c r="W70" i="31"/>
  <c r="X70" i="31" s="1"/>
  <c r="W55" i="31"/>
  <c r="X55" i="31" s="1"/>
  <c r="W45" i="31"/>
  <c r="X45" i="31" s="1"/>
  <c r="Y45" i="31" s="1"/>
  <c r="Z45" i="31" s="1"/>
  <c r="W62" i="31"/>
  <c r="X62" i="31" s="1"/>
  <c r="Y62" i="31" s="1"/>
  <c r="Z62" i="31" s="1"/>
  <c r="W34" i="31"/>
  <c r="X34" i="31" s="1"/>
  <c r="Y34" i="31" s="1"/>
  <c r="Z34" i="31" s="1"/>
  <c r="W6" i="31"/>
  <c r="X6" i="31" s="1"/>
  <c r="Y6" i="31" s="1"/>
  <c r="Z6" i="31" s="1"/>
  <c r="W60" i="31"/>
  <c r="X60" i="31" s="1"/>
  <c r="Y60" i="31" s="1"/>
  <c r="Z60" i="31" s="1"/>
  <c r="W54" i="31"/>
  <c r="X54" i="31" s="1"/>
  <c r="W53" i="31"/>
  <c r="X53" i="31" s="1"/>
  <c r="Y53" i="31" s="1"/>
  <c r="Z53" i="31" s="1"/>
  <c r="W78" i="31"/>
  <c r="X78" i="31" s="1"/>
  <c r="Y78" i="31" s="1"/>
  <c r="Z78" i="31" s="1"/>
  <c r="W42" i="31"/>
  <c r="X42" i="31" s="1"/>
  <c r="Y42" i="31" s="1"/>
  <c r="Z42" i="31" s="1"/>
  <c r="W19" i="31"/>
  <c r="X19" i="31" s="1"/>
  <c r="Y19" i="31" s="1"/>
  <c r="Z19" i="31" s="1"/>
  <c r="W63" i="31"/>
  <c r="X63" i="31" s="1"/>
  <c r="Y63" i="31" s="1"/>
  <c r="Z63" i="31" s="1"/>
  <c r="W8" i="31"/>
  <c r="X8" i="31" s="1"/>
  <c r="Y8" i="31" s="1"/>
  <c r="Z8" i="31" s="1"/>
  <c r="W43" i="31"/>
  <c r="X43" i="31" s="1"/>
  <c r="Y43" i="31" s="1"/>
  <c r="Z43" i="31" s="1"/>
  <c r="Z27" i="31"/>
  <c r="Y70" i="31"/>
  <c r="Z70" i="31" s="1"/>
  <c r="Y55" i="31"/>
  <c r="Z55" i="31" s="1"/>
  <c r="Y54" i="31"/>
  <c r="Z54" i="31" s="1"/>
  <c r="W46" i="30"/>
  <c r="X46" i="30" s="1"/>
  <c r="W43" i="30"/>
  <c r="X43" i="30" s="1"/>
  <c r="W76" i="30"/>
  <c r="X76" i="30" s="1"/>
  <c r="W78" i="30"/>
  <c r="X78" i="30" s="1"/>
  <c r="W52" i="30"/>
  <c r="X52" i="30" s="1"/>
  <c r="W28" i="30"/>
  <c r="X28" i="30" s="1"/>
  <c r="W51" i="30"/>
  <c r="X51" i="30" s="1"/>
  <c r="W4" i="30"/>
  <c r="X4" i="30" s="1"/>
  <c r="W17" i="30"/>
  <c r="X17" i="30" s="1"/>
  <c r="W71" i="30"/>
  <c r="X71" i="30" s="1"/>
  <c r="W34" i="30"/>
  <c r="X34" i="30" s="1"/>
  <c r="W30" i="31"/>
  <c r="X30" i="31" s="1"/>
  <c r="Y30" i="31" s="1"/>
  <c r="Z30" i="31" s="1"/>
  <c r="W64" i="30"/>
  <c r="X64" i="30" s="1"/>
  <c r="D113" i="42"/>
  <c r="C18" i="34"/>
  <c r="C19" i="34" s="1"/>
  <c r="W68" i="31"/>
  <c r="X68" i="31" s="1"/>
  <c r="Y68" i="31" s="1"/>
  <c r="Z68" i="31" s="1"/>
  <c r="W81" i="31"/>
  <c r="X81" i="31" s="1"/>
  <c r="Y81" i="31" s="1"/>
  <c r="Z81" i="31" s="1"/>
  <c r="W48" i="31"/>
  <c r="X48" i="31" s="1"/>
  <c r="Y48" i="31" s="1"/>
  <c r="Z48" i="31" s="1"/>
  <c r="W83" i="31"/>
  <c r="X83" i="31" s="1"/>
  <c r="Y83" i="31" s="1"/>
  <c r="Z83" i="31" s="1"/>
  <c r="W76" i="31"/>
  <c r="X76" i="31" s="1"/>
  <c r="Y76" i="31" s="1"/>
  <c r="Z76" i="31" s="1"/>
  <c r="W57" i="31"/>
  <c r="X57" i="31" s="1"/>
  <c r="Y57" i="31" s="1"/>
  <c r="Z57" i="31" s="1"/>
  <c r="W22" i="31"/>
  <c r="X22" i="31" s="1"/>
  <c r="Y22" i="31" s="1"/>
  <c r="Z22" i="31" s="1"/>
  <c r="W12" i="31"/>
  <c r="X12" i="31" s="1"/>
  <c r="Y12" i="31" s="1"/>
  <c r="Z12" i="31" s="1"/>
  <c r="W40" i="31"/>
  <c r="X40" i="31" s="1"/>
  <c r="Y40" i="31" s="1"/>
  <c r="Z40" i="31" s="1"/>
  <c r="W65" i="31"/>
  <c r="X65" i="31" s="1"/>
  <c r="Y65" i="31" s="1"/>
  <c r="Z65" i="31" s="1"/>
  <c r="W37" i="31"/>
  <c r="X37" i="31" s="1"/>
  <c r="Y37" i="31" s="1"/>
  <c r="Z37" i="31" s="1"/>
  <c r="W64" i="31"/>
  <c r="X64" i="31" s="1"/>
  <c r="Y64" i="31" s="1"/>
  <c r="Z64" i="31" s="1"/>
  <c r="W4" i="31"/>
  <c r="X4" i="31" s="1"/>
  <c r="Y4" i="31" s="1"/>
  <c r="Z4" i="31" s="1"/>
  <c r="W41" i="31"/>
  <c r="X41" i="31" s="1"/>
  <c r="Y41" i="31" s="1"/>
  <c r="Z41" i="31" s="1"/>
  <c r="W11" i="31"/>
  <c r="X11" i="31" s="1"/>
  <c r="Y11" i="31" s="1"/>
  <c r="Z11" i="31" s="1"/>
  <c r="W9" i="31"/>
  <c r="X9" i="31" s="1"/>
  <c r="Y9" i="31" s="1"/>
  <c r="Z9" i="31" s="1"/>
  <c r="W68" i="30"/>
  <c r="X68" i="30" s="1"/>
  <c r="W41" i="30"/>
  <c r="X41" i="30" s="1"/>
  <c r="W59" i="30"/>
  <c r="X59" i="30" s="1"/>
  <c r="W45" i="30"/>
  <c r="X45" i="30" s="1"/>
  <c r="W7" i="31"/>
  <c r="X7" i="31" s="1"/>
  <c r="Y7" i="31" s="1"/>
  <c r="Z7" i="31" s="1"/>
  <c r="W48" i="30"/>
  <c r="X48" i="30" s="1"/>
  <c r="W27" i="30"/>
  <c r="X27" i="30" s="1"/>
  <c r="W29" i="30"/>
  <c r="X29" i="30" s="1"/>
  <c r="W84" i="30"/>
  <c r="X84" i="30" s="1"/>
  <c r="W23" i="30"/>
  <c r="X23" i="30" s="1"/>
  <c r="W22" i="30"/>
  <c r="X22" i="30" s="1"/>
  <c r="W21" i="31"/>
  <c r="X21" i="31" s="1"/>
  <c r="Y21" i="31" s="1"/>
  <c r="Z21" i="31" s="1"/>
  <c r="W56" i="30"/>
  <c r="X56" i="30" s="1"/>
  <c r="X44" i="30"/>
  <c r="Y44" i="30" s="1"/>
  <c r="Z44" i="30" s="1"/>
  <c r="W83" i="30"/>
  <c r="X83" i="30" s="1"/>
  <c r="W84" i="31"/>
  <c r="X84" i="31" s="1"/>
  <c r="Y84" i="31" s="1"/>
  <c r="Z84" i="31" s="1"/>
  <c r="W72" i="31"/>
  <c r="X72" i="31" s="1"/>
  <c r="Y72" i="31" s="1"/>
  <c r="Z72" i="31" s="1"/>
  <c r="W16" i="31"/>
  <c r="X16" i="31" s="1"/>
  <c r="Y16" i="31" s="1"/>
  <c r="Z16" i="31" s="1"/>
  <c r="W82" i="31"/>
  <c r="X82" i="31" s="1"/>
  <c r="Y82" i="31" s="1"/>
  <c r="Z82" i="31" s="1"/>
  <c r="W47" i="31"/>
  <c r="X47" i="31" s="1"/>
  <c r="Y47" i="31" s="1"/>
  <c r="Z47" i="31" s="1"/>
  <c r="W79" i="31"/>
  <c r="X79" i="31" s="1"/>
  <c r="Y79" i="31" s="1"/>
  <c r="Z79" i="31" s="1"/>
  <c r="W65" i="30"/>
  <c r="X65" i="30" s="1"/>
  <c r="W9" i="30"/>
  <c r="X9" i="30" s="1"/>
  <c r="W70" i="30"/>
  <c r="X70" i="30" s="1"/>
  <c r="W33" i="30"/>
  <c r="X33" i="30" s="1"/>
  <c r="W25" i="30"/>
  <c r="X25" i="30" s="1"/>
  <c r="W79" i="30"/>
  <c r="X79" i="30" s="1"/>
  <c r="W55" i="30"/>
  <c r="X55" i="30" s="1"/>
  <c r="W28" i="31"/>
  <c r="X28" i="31" s="1"/>
  <c r="Y28" i="31" s="1"/>
  <c r="Z28" i="31" s="1"/>
  <c r="W80" i="31"/>
  <c r="X80" i="31" s="1"/>
  <c r="Y80" i="31" s="1"/>
  <c r="Z80" i="31" s="1"/>
  <c r="W73" i="30"/>
  <c r="X73" i="30" s="1"/>
  <c r="W16" i="30"/>
  <c r="X16" i="30" s="1"/>
  <c r="W7" i="30"/>
  <c r="X7" i="30" s="1"/>
  <c r="W32" i="30"/>
  <c r="X32" i="30" s="1"/>
  <c r="W20" i="30"/>
  <c r="X20" i="30" s="1"/>
  <c r="W75" i="31"/>
  <c r="X75" i="31" s="1"/>
  <c r="Y75" i="31" s="1"/>
  <c r="Z75" i="31" s="1"/>
  <c r="W14" i="31"/>
  <c r="X14" i="31" s="1"/>
  <c r="Y14" i="31" s="1"/>
  <c r="Z14" i="31" s="1"/>
  <c r="W51" i="31"/>
  <c r="X51" i="31" s="1"/>
  <c r="Y51" i="31" s="1"/>
  <c r="Z51" i="31" s="1"/>
  <c r="W52" i="31"/>
  <c r="X52" i="31" s="1"/>
  <c r="Y52" i="31" s="1"/>
  <c r="Z52" i="31" s="1"/>
  <c r="W59" i="31"/>
  <c r="X59" i="31" s="1"/>
  <c r="Y59" i="31" s="1"/>
  <c r="Z59" i="31" s="1"/>
  <c r="W30" i="30"/>
  <c r="X30" i="30" s="1"/>
  <c r="W35" i="30"/>
  <c r="X35" i="30" s="1"/>
  <c r="W37" i="30"/>
  <c r="X37" i="30" s="1"/>
  <c r="W49" i="30"/>
  <c r="X49" i="30" s="1"/>
  <c r="W66" i="30"/>
  <c r="X66" i="30" s="1"/>
  <c r="W80" i="30"/>
  <c r="X80" i="30" s="1"/>
  <c r="W13" i="30"/>
  <c r="X13" i="30" s="1"/>
  <c r="W63" i="30"/>
  <c r="X63" i="30" s="1"/>
  <c r="W15" i="31"/>
  <c r="X15" i="31" s="1"/>
  <c r="Y15" i="31" s="1"/>
  <c r="Z15" i="31" s="1"/>
  <c r="W10" i="31"/>
  <c r="X10" i="31" s="1"/>
  <c r="Y10" i="31" s="1"/>
  <c r="Z10" i="31" s="1"/>
  <c r="W61" i="31"/>
  <c r="X61" i="31" s="1"/>
  <c r="Y61" i="31" s="1"/>
  <c r="Z61" i="31" s="1"/>
  <c r="W66" i="31"/>
  <c r="X66" i="31" s="1"/>
  <c r="Y66" i="31" s="1"/>
  <c r="Z66" i="31" s="1"/>
  <c r="W33" i="31"/>
  <c r="X33" i="31" s="1"/>
  <c r="Y33" i="31" s="1"/>
  <c r="Z33" i="31" s="1"/>
  <c r="W77" i="31"/>
  <c r="X77" i="31" s="1"/>
  <c r="Y77" i="31" s="1"/>
  <c r="Z77" i="31" s="1"/>
  <c r="E148" i="41"/>
  <c r="E56" i="41" s="1"/>
  <c r="B151" i="41"/>
  <c r="B61" i="41" s="1"/>
  <c r="I151" i="41"/>
  <c r="I61" i="41" s="1"/>
  <c r="W10" i="30"/>
  <c r="X10" i="30" s="1"/>
  <c r="W11" i="30"/>
  <c r="X11" i="30" s="1"/>
  <c r="W40" i="30"/>
  <c r="X40" i="30" s="1"/>
  <c r="W38" i="30"/>
  <c r="X38" i="30" s="1"/>
  <c r="W19" i="30"/>
  <c r="X19" i="30" s="1"/>
  <c r="W81" i="30"/>
  <c r="X81" i="30" s="1"/>
  <c r="W31" i="30"/>
  <c r="X31" i="30" s="1"/>
  <c r="W14" i="30"/>
  <c r="X14" i="30" s="1"/>
  <c r="W61" i="30"/>
  <c r="X61" i="30" s="1"/>
  <c r="W8" i="30"/>
  <c r="X8" i="30" s="1"/>
  <c r="W50" i="30"/>
  <c r="X50" i="30" s="1"/>
  <c r="W26" i="30"/>
  <c r="X26" i="30" s="1"/>
  <c r="W77" i="30"/>
  <c r="X77" i="30" s="1"/>
  <c r="W24" i="30"/>
  <c r="X24" i="30" s="1"/>
  <c r="W15" i="30"/>
  <c r="X15" i="30" s="1"/>
  <c r="W75" i="30"/>
  <c r="X75" i="30" s="1"/>
  <c r="W50" i="31"/>
  <c r="X50" i="31" s="1"/>
  <c r="Y50" i="31" s="1"/>
  <c r="Z50" i="31" s="1"/>
  <c r="W49" i="31"/>
  <c r="X49" i="31" s="1"/>
  <c r="Y49" i="31" s="1"/>
  <c r="Z49" i="31" s="1"/>
  <c r="W32" i="31"/>
  <c r="X32" i="31" s="1"/>
  <c r="Y32" i="31" s="1"/>
  <c r="Z32" i="31" s="1"/>
  <c r="W67" i="31"/>
  <c r="X67" i="31" s="1"/>
  <c r="Y67" i="31" s="1"/>
  <c r="Z67" i="31" s="1"/>
  <c r="G148" i="42"/>
  <c r="G56" i="42" s="1"/>
  <c r="B151" i="42"/>
  <c r="B61" i="42" s="1"/>
  <c r="I151" i="42"/>
  <c r="I61" i="42" s="1"/>
  <c r="W60" i="30"/>
  <c r="X60" i="30" s="1"/>
  <c r="B151" i="18"/>
  <c r="B61" i="18" s="1"/>
  <c r="I151" i="18"/>
  <c r="I61" i="18" s="1"/>
  <c r="W21" i="30"/>
  <c r="X21" i="30" s="1"/>
  <c r="W12" i="30"/>
  <c r="X12" i="30" s="1"/>
  <c r="W6" i="30"/>
  <c r="X6" i="30" s="1"/>
  <c r="W54" i="30"/>
  <c r="X54" i="30" s="1"/>
  <c r="W42" i="30"/>
  <c r="X42" i="30" s="1"/>
  <c r="W72" i="30"/>
  <c r="X72" i="30" s="1"/>
  <c r="W74" i="30"/>
  <c r="X74" i="30" s="1"/>
  <c r="W5" i="30"/>
  <c r="X5" i="30" s="1"/>
  <c r="W56" i="31"/>
  <c r="X56" i="31" s="1"/>
  <c r="Y56" i="31" s="1"/>
  <c r="Z56" i="31" s="1"/>
  <c r="W31" i="31"/>
  <c r="X31" i="31" s="1"/>
  <c r="Y31" i="31" s="1"/>
  <c r="Z31" i="31" s="1"/>
  <c r="W71" i="31"/>
  <c r="X71" i="31" s="1"/>
  <c r="Y71" i="31" s="1"/>
  <c r="Z71" i="31" s="1"/>
  <c r="W13" i="31"/>
  <c r="X13" i="31" s="1"/>
  <c r="Y13" i="31" s="1"/>
  <c r="Z13" i="31" s="1"/>
  <c r="W58" i="31"/>
  <c r="X58" i="31" s="1"/>
  <c r="Y58" i="31" s="1"/>
  <c r="Z58" i="31" s="1"/>
  <c r="W67" i="30"/>
  <c r="X67" i="30" s="1"/>
  <c r="W53" i="30"/>
  <c r="X53" i="30" s="1"/>
  <c r="W39" i="30"/>
  <c r="X39" i="30" s="1"/>
  <c r="W69" i="30"/>
  <c r="X69" i="30" s="1"/>
  <c r="W36" i="30"/>
  <c r="X36" i="30" s="1"/>
  <c r="W69" i="31"/>
  <c r="X69" i="31" s="1"/>
  <c r="Y69" i="31" s="1"/>
  <c r="Z69" i="31" s="1"/>
  <c r="W25" i="31"/>
  <c r="X25" i="31" s="1"/>
  <c r="Y25" i="31" s="1"/>
  <c r="Z25" i="31" s="1"/>
  <c r="W24" i="31"/>
  <c r="X24" i="31" s="1"/>
  <c r="Y24" i="31" s="1"/>
  <c r="Z24" i="31" s="1"/>
  <c r="W26" i="31"/>
  <c r="X26" i="31" s="1"/>
  <c r="Y26" i="31" s="1"/>
  <c r="Z26" i="31" s="1"/>
  <c r="W17" i="31"/>
  <c r="X17" i="31" s="1"/>
  <c r="Y17" i="31" s="1"/>
  <c r="Z17" i="31" s="1"/>
  <c r="W57" i="30"/>
  <c r="X57" i="30" s="1"/>
  <c r="W62" i="30"/>
  <c r="X62" i="30" s="1"/>
  <c r="W47" i="30"/>
  <c r="X47" i="30" s="1"/>
  <c r="W18" i="30"/>
  <c r="X18" i="30" s="1"/>
  <c r="W82" i="30"/>
  <c r="X82" i="30" s="1"/>
  <c r="W58" i="30"/>
  <c r="X58" i="30" s="1"/>
  <c r="W73" i="31"/>
  <c r="X73" i="31" s="1"/>
  <c r="Y73" i="31" s="1"/>
  <c r="Z73" i="31" s="1"/>
  <c r="W29" i="31"/>
  <c r="X29" i="31" s="1"/>
  <c r="Y29" i="31" s="1"/>
  <c r="Z29" i="31" s="1"/>
  <c r="W23" i="31"/>
  <c r="X23" i="31" s="1"/>
  <c r="Y23" i="31" s="1"/>
  <c r="Z23" i="31" s="1"/>
  <c r="W38" i="31"/>
  <c r="X38" i="31" s="1"/>
  <c r="Y38" i="31" s="1"/>
  <c r="Z38" i="31" s="1"/>
  <c r="W5" i="31"/>
  <c r="X5" i="31" s="1"/>
  <c r="Y5" i="31" s="1"/>
  <c r="Z5" i="31" s="1"/>
  <c r="W39" i="31"/>
  <c r="X39" i="31" s="1"/>
  <c r="Y39" i="31" s="1"/>
  <c r="Z39" i="31" s="1"/>
  <c r="D113" i="33"/>
  <c r="C47" i="34"/>
  <c r="C48" i="34" s="1"/>
  <c r="D113" i="41"/>
  <c r="W36" i="32"/>
  <c r="W49" i="32"/>
  <c r="W77" i="32"/>
  <c r="E26" i="31"/>
  <c r="E57" i="31"/>
  <c r="E17" i="31"/>
  <c r="E55" i="32"/>
  <c r="E64" i="32"/>
  <c r="E30" i="32"/>
  <c r="E75" i="32"/>
  <c r="E25" i="32"/>
  <c r="E20" i="32"/>
  <c r="E76" i="32"/>
  <c r="Y4" i="37"/>
  <c r="E32" i="32"/>
  <c r="E17" i="32"/>
  <c r="D151" i="42"/>
  <c r="D61" i="42" s="1"/>
  <c r="B149" i="41"/>
  <c r="B57" i="41" s="1"/>
  <c r="B188" i="42"/>
  <c r="B28" i="42" s="1"/>
  <c r="E151" i="42"/>
  <c r="E61" i="42" s="1"/>
  <c r="B27" i="42"/>
  <c r="B148" i="41"/>
  <c r="B56" i="41" s="1"/>
  <c r="D148" i="42"/>
  <c r="D56" i="42" s="1"/>
  <c r="C151" i="41"/>
  <c r="C61" i="41" s="1"/>
  <c r="G151" i="42"/>
  <c r="G61" i="42" s="1"/>
  <c r="B149" i="42"/>
  <c r="B57" i="42" s="1"/>
  <c r="F148" i="42"/>
  <c r="F56" i="42" s="1"/>
  <c r="B153" i="42"/>
  <c r="B63" i="42" s="1"/>
  <c r="C151" i="42"/>
  <c r="C61" i="42" s="1"/>
  <c r="C145" i="42"/>
  <c r="E157" i="42" s="1"/>
  <c r="E92" i="42" s="1"/>
  <c r="F151" i="42"/>
  <c r="F61" i="42" s="1"/>
  <c r="C148" i="42"/>
  <c r="C56" i="42" s="1"/>
  <c r="B152" i="42"/>
  <c r="B62" i="42" s="1"/>
  <c r="B150" i="42"/>
  <c r="B58" i="42" s="1"/>
  <c r="E148" i="42"/>
  <c r="E56" i="42" s="1"/>
  <c r="B148" i="42"/>
  <c r="B56" i="42" s="1"/>
  <c r="C148" i="41"/>
  <c r="C56" i="41" s="1"/>
  <c r="G151" i="41"/>
  <c r="G61" i="41" s="1"/>
  <c r="G148" i="41"/>
  <c r="G56" i="41" s="1"/>
  <c r="B27" i="41"/>
  <c r="F148" i="41"/>
  <c r="F56" i="41" s="1"/>
  <c r="D148" i="41"/>
  <c r="D56" i="41" s="1"/>
  <c r="D151" i="41"/>
  <c r="D61" i="41" s="1"/>
  <c r="B153" i="41"/>
  <c r="B63" i="41" s="1"/>
  <c r="B188" i="41"/>
  <c r="B28" i="41" s="1"/>
  <c r="C145" i="41"/>
  <c r="B152" i="41"/>
  <c r="B62" i="41" s="1"/>
  <c r="F151" i="41"/>
  <c r="F61" i="41" s="1"/>
  <c r="E151" i="41"/>
  <c r="E61" i="41" s="1"/>
  <c r="B150" i="41"/>
  <c r="B58" i="41" s="1"/>
  <c r="I162" i="33"/>
  <c r="I99" i="33" s="1"/>
  <c r="E56" i="31"/>
  <c r="E5" i="31"/>
  <c r="W6" i="32"/>
  <c r="W10" i="32"/>
  <c r="W17" i="32"/>
  <c r="W26" i="32"/>
  <c r="E82" i="30"/>
  <c r="F82" i="30" s="1"/>
  <c r="G82" i="30" s="1"/>
  <c r="H82" i="30" s="1"/>
  <c r="E72" i="30"/>
  <c r="F72" i="30" s="1"/>
  <c r="G72" i="30" s="1"/>
  <c r="H72" i="30" s="1"/>
  <c r="E83" i="31"/>
  <c r="E13" i="32"/>
  <c r="E11" i="32"/>
  <c r="E59" i="32"/>
  <c r="E57" i="32"/>
  <c r="E5" i="32"/>
  <c r="E62" i="32"/>
  <c r="E66" i="32"/>
  <c r="E12" i="32"/>
  <c r="E79" i="32"/>
  <c r="E67" i="32"/>
  <c r="E72" i="32"/>
  <c r="E84" i="32"/>
  <c r="E33" i="32"/>
  <c r="E80" i="32"/>
  <c r="E38" i="32"/>
  <c r="E41" i="32"/>
  <c r="E51" i="32"/>
  <c r="E69" i="32"/>
  <c r="E8" i="32"/>
  <c r="E52" i="32"/>
  <c r="E58" i="32"/>
  <c r="E82" i="32"/>
  <c r="E40" i="32"/>
  <c r="E22" i="32"/>
  <c r="E27" i="32"/>
  <c r="E45" i="32"/>
  <c r="E34" i="32"/>
  <c r="E23" i="32"/>
  <c r="E54" i="32"/>
  <c r="E36" i="32"/>
  <c r="E24" i="32"/>
  <c r="E31" i="32"/>
  <c r="E43" i="32"/>
  <c r="E56" i="32"/>
  <c r="E68" i="32"/>
  <c r="E81" i="32"/>
  <c r="E18" i="32"/>
  <c r="E16" i="32"/>
  <c r="E19" i="32"/>
  <c r="E35" i="32"/>
  <c r="E9" i="32"/>
  <c r="E78" i="32"/>
  <c r="W61" i="32"/>
  <c r="E46" i="32"/>
  <c r="E28" i="32"/>
  <c r="E29" i="32"/>
  <c r="E74" i="32"/>
  <c r="E48" i="32"/>
  <c r="E37" i="32"/>
  <c r="E21" i="32"/>
  <c r="E77" i="32"/>
  <c r="E6" i="32"/>
  <c r="E70" i="32"/>
  <c r="E44" i="32"/>
  <c r="F44" i="32" s="1"/>
  <c r="G44" i="32" s="1"/>
  <c r="H44" i="32" s="1"/>
  <c r="E61" i="32"/>
  <c r="E42" i="32"/>
  <c r="E26" i="32"/>
  <c r="E10" i="32"/>
  <c r="E53" i="32"/>
  <c r="E4" i="32"/>
  <c r="E71" i="32"/>
  <c r="E63" i="32"/>
  <c r="F63" i="32" s="1"/>
  <c r="G63" i="32" s="1"/>
  <c r="E65" i="32"/>
  <c r="E73" i="32"/>
  <c r="E50" i="32"/>
  <c r="E61" i="31"/>
  <c r="W27" i="32"/>
  <c r="E32" i="31"/>
  <c r="W57" i="32"/>
  <c r="W11" i="32"/>
  <c r="E71" i="30"/>
  <c r="F71" i="30" s="1"/>
  <c r="G71" i="30" s="1"/>
  <c r="H71" i="30" s="1"/>
  <c r="F5" i="10"/>
  <c r="G5" i="10" s="1"/>
  <c r="H5" i="10" s="1"/>
  <c r="W19" i="32"/>
  <c r="W67" i="32"/>
  <c r="W72" i="32"/>
  <c r="W78" i="32"/>
  <c r="W53" i="32"/>
  <c r="W60" i="32"/>
  <c r="W22" i="32"/>
  <c r="W40" i="32"/>
  <c r="W12" i="32"/>
  <c r="W25" i="32"/>
  <c r="W54" i="32"/>
  <c r="W58" i="32"/>
  <c r="W23" i="32"/>
  <c r="W34" i="32"/>
  <c r="W5" i="32"/>
  <c r="W68" i="32"/>
  <c r="W32" i="32"/>
  <c r="W24" i="32"/>
  <c r="W41" i="32"/>
  <c r="W13" i="32"/>
  <c r="W20" i="32"/>
  <c r="W64" i="32"/>
  <c r="W69" i="32"/>
  <c r="W44" i="32"/>
  <c r="X44" i="32" s="1"/>
  <c r="Y44" i="32" s="1"/>
  <c r="Z44" i="32" s="1"/>
  <c r="W35" i="32"/>
  <c r="W15" i="32"/>
  <c r="W14" i="32"/>
  <c r="W63" i="32"/>
  <c r="W76" i="32"/>
  <c r="W30" i="32"/>
  <c r="W28" i="32"/>
  <c r="W45" i="32"/>
  <c r="W81" i="32"/>
  <c r="W71" i="32"/>
  <c r="W80" i="32"/>
  <c r="W33" i="32"/>
  <c r="W50" i="32"/>
  <c r="W8" i="32"/>
  <c r="W29" i="32"/>
  <c r="W52" i="32"/>
  <c r="W56" i="32"/>
  <c r="W31" i="32"/>
  <c r="W70" i="32"/>
  <c r="W42" i="32"/>
  <c r="W55" i="32"/>
  <c r="W82" i="32"/>
  <c r="W83" i="32"/>
  <c r="W39" i="32"/>
  <c r="W7" i="32"/>
  <c r="W18" i="32"/>
  <c r="W9" i="32"/>
  <c r="W66" i="32"/>
  <c r="W16" i="32"/>
  <c r="W4" i="32"/>
  <c r="W43" i="32"/>
  <c r="W38" i="32"/>
  <c r="W37" i="32"/>
  <c r="W74" i="32"/>
  <c r="W73" i="32"/>
  <c r="W47" i="32"/>
  <c r="W51" i="32"/>
  <c r="W62" i="32"/>
  <c r="W84" i="32"/>
  <c r="W46" i="32"/>
  <c r="X46" i="32" s="1"/>
  <c r="Y46" i="32" s="1"/>
  <c r="Z46" i="32" s="1"/>
  <c r="W48" i="32"/>
  <c r="W79" i="32"/>
  <c r="W59" i="32"/>
  <c r="B27" i="18"/>
  <c r="B153" i="18"/>
  <c r="B63" i="18" s="1"/>
  <c r="E64" i="30"/>
  <c r="F64" i="30" s="1"/>
  <c r="G64" i="30" s="1"/>
  <c r="H64" i="30" s="1"/>
  <c r="E44" i="31"/>
  <c r="F44" i="31" s="1"/>
  <c r="G44" i="31" s="1"/>
  <c r="H44" i="31" s="1"/>
  <c r="E67" i="30"/>
  <c r="F67" i="30" s="1"/>
  <c r="G67" i="30" s="1"/>
  <c r="H67" i="30" s="1"/>
  <c r="E54" i="30"/>
  <c r="F54" i="30" s="1"/>
  <c r="G54" i="30" s="1"/>
  <c r="H54" i="30" s="1"/>
  <c r="E28" i="30"/>
  <c r="F28" i="30" s="1"/>
  <c r="G28" i="30" s="1"/>
  <c r="H28" i="30" s="1"/>
  <c r="E10" i="30"/>
  <c r="F10" i="30" s="1"/>
  <c r="G10" i="30" s="1"/>
  <c r="H10" i="30" s="1"/>
  <c r="E17" i="30"/>
  <c r="F17" i="30" s="1"/>
  <c r="G17" i="30" s="1"/>
  <c r="H17" i="30" s="1"/>
  <c r="E42" i="30"/>
  <c r="F42" i="30" s="1"/>
  <c r="G42" i="30" s="1"/>
  <c r="H42" i="30" s="1"/>
  <c r="E58" i="30"/>
  <c r="F58" i="30" s="1"/>
  <c r="G58" i="30" s="1"/>
  <c r="H58" i="30" s="1"/>
  <c r="E63" i="30"/>
  <c r="F63" i="30" s="1"/>
  <c r="G63" i="30" s="1"/>
  <c r="H63" i="30" s="1"/>
  <c r="E38" i="30"/>
  <c r="F38" i="30" s="1"/>
  <c r="G38" i="30" s="1"/>
  <c r="H38" i="30" s="1"/>
  <c r="E50" i="30"/>
  <c r="F50" i="30" s="1"/>
  <c r="G50" i="30" s="1"/>
  <c r="H50" i="30" s="1"/>
  <c r="F81" i="10"/>
  <c r="G81" i="10" s="1"/>
  <c r="H81" i="10" s="1"/>
  <c r="F63" i="10"/>
  <c r="G63" i="10" s="1"/>
  <c r="H63" i="10" s="1"/>
  <c r="F68" i="10"/>
  <c r="G68" i="10" s="1"/>
  <c r="H68" i="10" s="1"/>
  <c r="E49" i="31"/>
  <c r="E51" i="31"/>
  <c r="E76" i="31"/>
  <c r="E63" i="31"/>
  <c r="E65" i="31"/>
  <c r="E15" i="31"/>
  <c r="E82" i="31"/>
  <c r="E53" i="31"/>
  <c r="E73" i="31"/>
  <c r="F54" i="10"/>
  <c r="G54" i="10" s="1"/>
  <c r="H54" i="10" s="1"/>
  <c r="F21" i="10"/>
  <c r="G21" i="10" s="1"/>
  <c r="H21" i="10" s="1"/>
  <c r="F35" i="10"/>
  <c r="G35" i="10" s="1"/>
  <c r="H35" i="10" s="1"/>
  <c r="F59" i="10"/>
  <c r="G59" i="10" s="1"/>
  <c r="H59" i="10" s="1"/>
  <c r="F46" i="10"/>
  <c r="G46" i="10" s="1"/>
  <c r="H46" i="10" s="1"/>
  <c r="F55" i="10"/>
  <c r="G55" i="10" s="1"/>
  <c r="H55" i="10" s="1"/>
  <c r="F78" i="10"/>
  <c r="G78" i="10" s="1"/>
  <c r="H78" i="10" s="1"/>
  <c r="E22" i="31"/>
  <c r="E42" i="31"/>
  <c r="E37" i="31"/>
  <c r="E75" i="31"/>
  <c r="E16" i="31"/>
  <c r="E46" i="31"/>
  <c r="E40" i="31"/>
  <c r="E68" i="31"/>
  <c r="E72" i="31"/>
  <c r="E27" i="31"/>
  <c r="E77" i="31"/>
  <c r="E18" i="31"/>
  <c r="E78" i="31"/>
  <c r="E39" i="31"/>
  <c r="E33" i="31"/>
  <c r="E81" i="31"/>
  <c r="E25" i="31"/>
  <c r="E12" i="30"/>
  <c r="F12" i="30" s="1"/>
  <c r="G12" i="30" s="1"/>
  <c r="H12" i="30" s="1"/>
  <c r="E45" i="30"/>
  <c r="F45" i="30" s="1"/>
  <c r="G45" i="30" s="1"/>
  <c r="H45" i="30" s="1"/>
  <c r="E47" i="31"/>
  <c r="E24" i="31"/>
  <c r="E28" i="31"/>
  <c r="E12" i="31"/>
  <c r="E43" i="31"/>
  <c r="E38" i="31"/>
  <c r="E21" i="31"/>
  <c r="E36" i="31"/>
  <c r="E13" i="31"/>
  <c r="E23" i="31"/>
  <c r="E80" i="31"/>
  <c r="E10" i="31"/>
  <c r="E74" i="31"/>
  <c r="E11" i="31"/>
  <c r="E52" i="31"/>
  <c r="E55" i="31"/>
  <c r="E50" i="31"/>
  <c r="E4" i="31"/>
  <c r="E48" i="31"/>
  <c r="E62" i="31"/>
  <c r="E6" i="31"/>
  <c r="E64" i="31"/>
  <c r="E71" i="31"/>
  <c r="E30" i="31"/>
  <c r="E58" i="31"/>
  <c r="E54" i="31"/>
  <c r="E8" i="31"/>
  <c r="E9" i="31"/>
  <c r="E67" i="31"/>
  <c r="E45" i="31"/>
  <c r="E7" i="31"/>
  <c r="E79" i="31"/>
  <c r="E66" i="31"/>
  <c r="E29" i="31"/>
  <c r="E60" i="31"/>
  <c r="E34" i="31"/>
  <c r="E19" i="31"/>
  <c r="E35" i="31"/>
  <c r="E41" i="31"/>
  <c r="E70" i="31"/>
  <c r="E84" i="31"/>
  <c r="E14" i="31"/>
  <c r="E20" i="31"/>
  <c r="E69" i="31"/>
  <c r="E31" i="31"/>
  <c r="E57" i="30"/>
  <c r="F57" i="30" s="1"/>
  <c r="G57" i="30" s="1"/>
  <c r="H57" i="30" s="1"/>
  <c r="E16" i="30"/>
  <c r="F16" i="30" s="1"/>
  <c r="G16" i="30" s="1"/>
  <c r="H16" i="30" s="1"/>
  <c r="E35" i="30"/>
  <c r="F35" i="30" s="1"/>
  <c r="G35" i="30" s="1"/>
  <c r="H35" i="30" s="1"/>
  <c r="E55" i="30"/>
  <c r="F55" i="30" s="1"/>
  <c r="G55" i="30" s="1"/>
  <c r="H55" i="30" s="1"/>
  <c r="E7" i="30"/>
  <c r="F7" i="30" s="1"/>
  <c r="G7" i="30" s="1"/>
  <c r="H7" i="30" s="1"/>
  <c r="E30" i="30"/>
  <c r="F30" i="30" s="1"/>
  <c r="G30" i="30" s="1"/>
  <c r="H30" i="30" s="1"/>
  <c r="E49" i="30"/>
  <c r="F49" i="30" s="1"/>
  <c r="G49" i="30" s="1"/>
  <c r="H49" i="30" s="1"/>
  <c r="E15" i="30"/>
  <c r="F15" i="30" s="1"/>
  <c r="G15" i="30" s="1"/>
  <c r="H15" i="30" s="1"/>
  <c r="E19" i="30"/>
  <c r="F19" i="30" s="1"/>
  <c r="G19" i="30" s="1"/>
  <c r="H19" i="30" s="1"/>
  <c r="E56" i="30"/>
  <c r="F56" i="30" s="1"/>
  <c r="G56" i="30" s="1"/>
  <c r="H56" i="30" s="1"/>
  <c r="F30" i="10"/>
  <c r="G30" i="10" s="1"/>
  <c r="H30" i="10" s="1"/>
  <c r="F45" i="10"/>
  <c r="G45" i="10" s="1"/>
  <c r="H45" i="10" s="1"/>
  <c r="E59" i="31"/>
  <c r="E6" i="30"/>
  <c r="F6" i="30" s="1"/>
  <c r="G6" i="30" s="1"/>
  <c r="H6" i="30" s="1"/>
  <c r="E43" i="30"/>
  <c r="F43" i="30" s="1"/>
  <c r="G43" i="30" s="1"/>
  <c r="H43" i="30" s="1"/>
  <c r="E61" i="30"/>
  <c r="F61" i="30" s="1"/>
  <c r="G61" i="30" s="1"/>
  <c r="H61" i="30" s="1"/>
  <c r="E5" i="30"/>
  <c r="F5" i="30" s="1"/>
  <c r="G5" i="30" s="1"/>
  <c r="H5" i="30" s="1"/>
  <c r="E14" i="30"/>
  <c r="F14" i="30" s="1"/>
  <c r="G14" i="30" s="1"/>
  <c r="H14" i="30" s="1"/>
  <c r="F60" i="10"/>
  <c r="G60" i="10" s="1"/>
  <c r="H60" i="10" s="1"/>
  <c r="E77" i="30"/>
  <c r="F77" i="30" s="1"/>
  <c r="G77" i="30" s="1"/>
  <c r="H77" i="30" s="1"/>
  <c r="E21" i="30"/>
  <c r="F21" i="30" s="1"/>
  <c r="G21" i="30" s="1"/>
  <c r="H21" i="30" s="1"/>
  <c r="E51" i="30"/>
  <c r="F51" i="30" s="1"/>
  <c r="G51" i="30" s="1"/>
  <c r="H51" i="30" s="1"/>
  <c r="E68" i="38"/>
  <c r="AD68" i="38" s="1"/>
  <c r="E112" i="33"/>
  <c r="D18" i="34"/>
  <c r="D19" i="34" s="1"/>
  <c r="E36" i="30"/>
  <c r="F36" i="30" s="1"/>
  <c r="G36" i="30" s="1"/>
  <c r="H36" i="30" s="1"/>
  <c r="E69" i="30"/>
  <c r="F69" i="30" s="1"/>
  <c r="G69" i="30" s="1"/>
  <c r="H69" i="30" s="1"/>
  <c r="E80" i="30"/>
  <c r="F80" i="30" s="1"/>
  <c r="G80" i="30" s="1"/>
  <c r="H80" i="30" s="1"/>
  <c r="E32" i="30"/>
  <c r="F32" i="30" s="1"/>
  <c r="G32" i="30" s="1"/>
  <c r="H32" i="30" s="1"/>
  <c r="E83" i="30"/>
  <c r="F83" i="30" s="1"/>
  <c r="G83" i="30" s="1"/>
  <c r="H83" i="30" s="1"/>
  <c r="F28" i="10"/>
  <c r="G28" i="10" s="1"/>
  <c r="H28" i="10" s="1"/>
  <c r="F22" i="10"/>
  <c r="G22" i="10" s="1"/>
  <c r="H22" i="10" s="1"/>
  <c r="F13" i="10"/>
  <c r="G13" i="10" s="1"/>
  <c r="H13" i="10" s="1"/>
  <c r="E81" i="37"/>
  <c r="AD81" i="37" s="1"/>
  <c r="E63" i="37"/>
  <c r="AD63" i="37" s="1"/>
  <c r="E67" i="37"/>
  <c r="AD67" i="37" s="1"/>
  <c r="E16" i="37"/>
  <c r="AD16" i="37" s="1"/>
  <c r="E22" i="37"/>
  <c r="AD22" i="37" s="1"/>
  <c r="E84" i="37"/>
  <c r="AD84" i="37" s="1"/>
  <c r="E28" i="37"/>
  <c r="AD28" i="37" s="1"/>
  <c r="E79" i="37"/>
  <c r="AD79" i="37" s="1"/>
  <c r="E47" i="37"/>
  <c r="AD47" i="37" s="1"/>
  <c r="E41" i="37"/>
  <c r="AD41" i="37" s="1"/>
  <c r="E52" i="37"/>
  <c r="AD52" i="37" s="1"/>
  <c r="E54" i="37"/>
  <c r="AD54" i="37" s="1"/>
  <c r="E56" i="37"/>
  <c r="AD56" i="37" s="1"/>
  <c r="E49" i="37"/>
  <c r="AD49" i="37" s="1"/>
  <c r="E58" i="37"/>
  <c r="AD58" i="37" s="1"/>
  <c r="E13" i="37"/>
  <c r="AD13" i="37" s="1"/>
  <c r="E4" i="37"/>
  <c r="AD4" i="37" s="1"/>
  <c r="E10" i="37"/>
  <c r="AD10" i="37" s="1"/>
  <c r="E5" i="37"/>
  <c r="AD5" i="37" s="1"/>
  <c r="E32" i="37"/>
  <c r="AD32" i="37" s="1"/>
  <c r="F7" i="10"/>
  <c r="G7" i="10" s="1"/>
  <c r="H7" i="10" s="1"/>
  <c r="F79" i="10"/>
  <c r="G79" i="10" s="1"/>
  <c r="H79" i="10" s="1"/>
  <c r="F26" i="10"/>
  <c r="G26" i="10" s="1"/>
  <c r="H26" i="10" s="1"/>
  <c r="F84" i="10"/>
  <c r="G84" i="10" s="1"/>
  <c r="H84" i="10" s="1"/>
  <c r="E52" i="30"/>
  <c r="F52" i="30" s="1"/>
  <c r="G52" i="30" s="1"/>
  <c r="H52" i="30" s="1"/>
  <c r="E22" i="30"/>
  <c r="F22" i="30" s="1"/>
  <c r="G22" i="30" s="1"/>
  <c r="H22" i="30" s="1"/>
  <c r="E33" i="30"/>
  <c r="F33" i="30" s="1"/>
  <c r="G33" i="30" s="1"/>
  <c r="H33" i="30" s="1"/>
  <c r="E65" i="30"/>
  <c r="F65" i="30" s="1"/>
  <c r="G65" i="30" s="1"/>
  <c r="H65" i="30" s="1"/>
  <c r="E18" i="30"/>
  <c r="F18" i="30" s="1"/>
  <c r="G18" i="30" s="1"/>
  <c r="H18" i="30" s="1"/>
  <c r="F12" i="10"/>
  <c r="G12" i="10" s="1"/>
  <c r="H12" i="10" s="1"/>
  <c r="F56" i="10"/>
  <c r="G56" i="10" s="1"/>
  <c r="H56" i="10" s="1"/>
  <c r="E80" i="36"/>
  <c r="AD80" i="36" s="1"/>
  <c r="E45" i="36"/>
  <c r="AD45" i="36" s="1"/>
  <c r="E28" i="36"/>
  <c r="AD28" i="36" s="1"/>
  <c r="E6" i="36"/>
  <c r="AD6" i="36" s="1"/>
  <c r="E26" i="36"/>
  <c r="AD26" i="36" s="1"/>
  <c r="E49" i="36"/>
  <c r="AD49" i="36" s="1"/>
  <c r="E50" i="36"/>
  <c r="AD50" i="36" s="1"/>
  <c r="E79" i="36"/>
  <c r="AD79" i="36" s="1"/>
  <c r="E43" i="36"/>
  <c r="AD43" i="36" s="1"/>
  <c r="E23" i="36"/>
  <c r="AD23" i="36" s="1"/>
  <c r="E39" i="36"/>
  <c r="AD39" i="36" s="1"/>
  <c r="E71" i="36"/>
  <c r="AD71" i="36" s="1"/>
  <c r="E36" i="36"/>
  <c r="AD36" i="36" s="1"/>
  <c r="E34" i="36"/>
  <c r="AD34" i="36" s="1"/>
  <c r="E4" i="36"/>
  <c r="AD4" i="36" s="1"/>
  <c r="E76" i="36"/>
  <c r="AD76" i="36" s="1"/>
  <c r="E55" i="36"/>
  <c r="AD55" i="36" s="1"/>
  <c r="E73" i="36"/>
  <c r="AD73" i="36" s="1"/>
  <c r="E10" i="36"/>
  <c r="AD10" i="36" s="1"/>
  <c r="E44" i="36"/>
  <c r="AD44" i="36" s="1"/>
  <c r="F58" i="10"/>
  <c r="G58" i="10" s="1"/>
  <c r="H58" i="10" s="1"/>
  <c r="E112" i="18"/>
  <c r="D18" i="17"/>
  <c r="D19" i="17" s="1"/>
  <c r="F9" i="10"/>
  <c r="G9" i="10" s="1"/>
  <c r="H9" i="10" s="1"/>
  <c r="F83" i="10"/>
  <c r="G83" i="10" s="1"/>
  <c r="H83" i="10" s="1"/>
  <c r="E29" i="38"/>
  <c r="AD29" i="38" s="1"/>
  <c r="E11" i="38"/>
  <c r="AD11" i="38" s="1"/>
  <c r="E76" i="38"/>
  <c r="AD76" i="38" s="1"/>
  <c r="E39" i="38"/>
  <c r="AD39" i="38" s="1"/>
  <c r="E5" i="38"/>
  <c r="AD5" i="38" s="1"/>
  <c r="E70" i="38"/>
  <c r="AD70" i="38" s="1"/>
  <c r="E65" i="38"/>
  <c r="AD65" i="38" s="1"/>
  <c r="E63" i="38"/>
  <c r="AD63" i="38" s="1"/>
  <c r="E84" i="38"/>
  <c r="AD84" i="38" s="1"/>
  <c r="E23" i="38"/>
  <c r="AD23" i="38" s="1"/>
  <c r="E53" i="38"/>
  <c r="AD53" i="38" s="1"/>
  <c r="E56" i="38"/>
  <c r="AD56" i="38" s="1"/>
  <c r="E67" i="38"/>
  <c r="AD67" i="38" s="1"/>
  <c r="E48" i="38"/>
  <c r="AD48" i="38" s="1"/>
  <c r="E20" i="38"/>
  <c r="AD20" i="38" s="1"/>
  <c r="E19" i="38"/>
  <c r="AD19" i="38" s="1"/>
  <c r="E26" i="38"/>
  <c r="AD26" i="38" s="1"/>
  <c r="E41" i="38"/>
  <c r="AD41" i="38" s="1"/>
  <c r="E80" i="38"/>
  <c r="AD80" i="38" s="1"/>
  <c r="E79" i="38"/>
  <c r="AD79" i="38" s="1"/>
  <c r="E81" i="38"/>
  <c r="AD81" i="38" s="1"/>
  <c r="E4" i="38"/>
  <c r="AD4" i="38" s="1"/>
  <c r="E18" i="38"/>
  <c r="AD18" i="38" s="1"/>
  <c r="E43" i="38"/>
  <c r="AD43" i="38" s="1"/>
  <c r="F36" i="10"/>
  <c r="G36" i="10" s="1"/>
  <c r="H36" i="10" s="1"/>
  <c r="F14" i="10"/>
  <c r="G14" i="10" s="1"/>
  <c r="H14" i="10" s="1"/>
  <c r="F39" i="10"/>
  <c r="G39" i="10" s="1"/>
  <c r="H39" i="10" s="1"/>
  <c r="F61" i="10"/>
  <c r="G61" i="10" s="1"/>
  <c r="H61" i="10" s="1"/>
  <c r="F49" i="10"/>
  <c r="G49" i="10" s="1"/>
  <c r="H49" i="10" s="1"/>
  <c r="F34" i="10"/>
  <c r="G34" i="10" s="1"/>
  <c r="H34" i="10" s="1"/>
  <c r="F73" i="10"/>
  <c r="G73" i="10" s="1"/>
  <c r="H73" i="10" s="1"/>
  <c r="F24" i="10"/>
  <c r="G24" i="10" s="1"/>
  <c r="H24" i="10" s="1"/>
  <c r="F23" i="10"/>
  <c r="G23" i="10" s="1"/>
  <c r="H23" i="10" s="1"/>
  <c r="F33" i="10"/>
  <c r="G33" i="10" s="1"/>
  <c r="H33" i="10" s="1"/>
  <c r="E25" i="30"/>
  <c r="F25" i="30" s="1"/>
  <c r="G25" i="30" s="1"/>
  <c r="H25" i="30" s="1"/>
  <c r="E11" i="30"/>
  <c r="F11" i="30" s="1"/>
  <c r="G11" i="30" s="1"/>
  <c r="H11" i="30" s="1"/>
  <c r="E78" i="30"/>
  <c r="F78" i="30" s="1"/>
  <c r="G78" i="30" s="1"/>
  <c r="H78" i="30" s="1"/>
  <c r="E70" i="30"/>
  <c r="F70" i="30" s="1"/>
  <c r="G70" i="30" s="1"/>
  <c r="H70" i="30" s="1"/>
  <c r="E59" i="30"/>
  <c r="F59" i="30" s="1"/>
  <c r="G59" i="30" s="1"/>
  <c r="H59" i="30" s="1"/>
  <c r="E76" i="30"/>
  <c r="F76" i="30" s="1"/>
  <c r="G76" i="30" s="1"/>
  <c r="H76" i="30" s="1"/>
  <c r="F47" i="10"/>
  <c r="G47" i="10" s="1"/>
  <c r="H47" i="10" s="1"/>
  <c r="E31" i="37"/>
  <c r="AD31" i="37" s="1"/>
  <c r="E50" i="37"/>
  <c r="AD50" i="37" s="1"/>
  <c r="E59" i="37"/>
  <c r="AD59" i="37" s="1"/>
  <c r="E19" i="37"/>
  <c r="AD19" i="37" s="1"/>
  <c r="E25" i="37"/>
  <c r="AD25" i="37" s="1"/>
  <c r="E33" i="37"/>
  <c r="AD33" i="37" s="1"/>
  <c r="E44" i="37"/>
  <c r="AD44" i="37" s="1"/>
  <c r="E26" i="37"/>
  <c r="AD26" i="37" s="1"/>
  <c r="E29" i="37"/>
  <c r="AD29" i="37" s="1"/>
  <c r="E20" i="37"/>
  <c r="AD20" i="37" s="1"/>
  <c r="E40" i="37"/>
  <c r="AD40" i="37" s="1"/>
  <c r="E7" i="37"/>
  <c r="AD7" i="37" s="1"/>
  <c r="E39" i="37"/>
  <c r="AD39" i="37" s="1"/>
  <c r="E27" i="37"/>
  <c r="AD27" i="37" s="1"/>
  <c r="E46" i="37"/>
  <c r="AD46" i="37" s="1"/>
  <c r="E17" i="37"/>
  <c r="AD17" i="37" s="1"/>
  <c r="E66" i="37"/>
  <c r="AD66" i="37" s="1"/>
  <c r="E73" i="37"/>
  <c r="AD73" i="37" s="1"/>
  <c r="E72" i="37"/>
  <c r="AD72" i="37" s="1"/>
  <c r="E21" i="37"/>
  <c r="AD21" i="37" s="1"/>
  <c r="F16" i="10"/>
  <c r="G16" i="10" s="1"/>
  <c r="H16" i="10" s="1"/>
  <c r="F38" i="10"/>
  <c r="G38" i="10" s="1"/>
  <c r="H38" i="10" s="1"/>
  <c r="F17" i="10"/>
  <c r="G17" i="10" s="1"/>
  <c r="H17" i="10" s="1"/>
  <c r="E41" i="30"/>
  <c r="F41" i="30" s="1"/>
  <c r="G41" i="30" s="1"/>
  <c r="H41" i="30" s="1"/>
  <c r="E37" i="30"/>
  <c r="F37" i="30" s="1"/>
  <c r="G37" i="30" s="1"/>
  <c r="H37" i="30" s="1"/>
  <c r="E20" i="30"/>
  <c r="F20" i="30" s="1"/>
  <c r="G20" i="30" s="1"/>
  <c r="H20" i="30" s="1"/>
  <c r="E48" i="30"/>
  <c r="F48" i="30" s="1"/>
  <c r="G48" i="30" s="1"/>
  <c r="H48" i="30" s="1"/>
  <c r="E66" i="30"/>
  <c r="F66" i="30" s="1"/>
  <c r="G66" i="30" s="1"/>
  <c r="H66" i="30" s="1"/>
  <c r="F64" i="10"/>
  <c r="G64" i="10" s="1"/>
  <c r="H64" i="10" s="1"/>
  <c r="E14" i="36"/>
  <c r="AD14" i="36" s="1"/>
  <c r="E9" i="36"/>
  <c r="AD9" i="36" s="1"/>
  <c r="E57" i="36"/>
  <c r="AD57" i="36" s="1"/>
  <c r="E8" i="36"/>
  <c r="AD8" i="36" s="1"/>
  <c r="E70" i="36"/>
  <c r="AD70" i="36" s="1"/>
  <c r="E84" i="36"/>
  <c r="AD84" i="36" s="1"/>
  <c r="E32" i="36"/>
  <c r="AD32" i="36" s="1"/>
  <c r="E18" i="36"/>
  <c r="AD18" i="36" s="1"/>
  <c r="E33" i="36"/>
  <c r="AD33" i="36" s="1"/>
  <c r="E22" i="36"/>
  <c r="AD22" i="36" s="1"/>
  <c r="E78" i="36"/>
  <c r="AD78" i="36" s="1"/>
  <c r="E66" i="36"/>
  <c r="AD66" i="36" s="1"/>
  <c r="E35" i="36"/>
  <c r="AD35" i="36" s="1"/>
  <c r="E15" i="36"/>
  <c r="AD15" i="36" s="1"/>
  <c r="E24" i="36"/>
  <c r="AD24" i="36" s="1"/>
  <c r="E29" i="36"/>
  <c r="AD29" i="36" s="1"/>
  <c r="E52" i="36"/>
  <c r="AD52" i="36" s="1"/>
  <c r="E38" i="36"/>
  <c r="AD38" i="36" s="1"/>
  <c r="E64" i="36"/>
  <c r="AD64" i="36" s="1"/>
  <c r="E81" i="36"/>
  <c r="AD81" i="36" s="1"/>
  <c r="E20" i="36"/>
  <c r="AD20" i="36" s="1"/>
  <c r="F25" i="10"/>
  <c r="G25" i="10" s="1"/>
  <c r="H25" i="10" s="1"/>
  <c r="F52" i="10"/>
  <c r="G52" i="10" s="1"/>
  <c r="H52" i="10" s="1"/>
  <c r="F74" i="10"/>
  <c r="G74" i="10" s="1"/>
  <c r="H74" i="10" s="1"/>
  <c r="F20" i="10"/>
  <c r="G20" i="10" s="1"/>
  <c r="H20" i="10" s="1"/>
  <c r="E51" i="38"/>
  <c r="AD51" i="38" s="1"/>
  <c r="E74" i="38"/>
  <c r="AD74" i="38" s="1"/>
  <c r="E14" i="38"/>
  <c r="AD14" i="38" s="1"/>
  <c r="E47" i="38"/>
  <c r="AD47" i="38" s="1"/>
  <c r="E15" i="38"/>
  <c r="AD15" i="38" s="1"/>
  <c r="E21" i="38"/>
  <c r="AD21" i="38" s="1"/>
  <c r="E22" i="38"/>
  <c r="AD22" i="38" s="1"/>
  <c r="D18" i="40"/>
  <c r="D19" i="40" s="1"/>
  <c r="E112" i="42"/>
  <c r="E13" i="38"/>
  <c r="AD13" i="38" s="1"/>
  <c r="E69" i="38"/>
  <c r="AD69" i="38" s="1"/>
  <c r="E24" i="38"/>
  <c r="AD24" i="38" s="1"/>
  <c r="E30" i="38"/>
  <c r="AD30" i="38" s="1"/>
  <c r="E32" i="38"/>
  <c r="AD32" i="38" s="1"/>
  <c r="E31" i="38"/>
  <c r="AD31" i="38" s="1"/>
  <c r="E28" i="38"/>
  <c r="AD28" i="38" s="1"/>
  <c r="E36" i="38"/>
  <c r="AD36" i="38" s="1"/>
  <c r="E49" i="38"/>
  <c r="AD49" i="38" s="1"/>
  <c r="E73" i="38"/>
  <c r="AD73" i="38" s="1"/>
  <c r="E83" i="38"/>
  <c r="AD83" i="38" s="1"/>
  <c r="E8" i="38"/>
  <c r="AD8" i="38" s="1"/>
  <c r="E6" i="38"/>
  <c r="AD6" i="38" s="1"/>
  <c r="E25" i="38"/>
  <c r="AD25" i="38" s="1"/>
  <c r="E54" i="38"/>
  <c r="AD54" i="38" s="1"/>
  <c r="E58" i="38"/>
  <c r="AD58" i="38" s="1"/>
  <c r="E61" i="38"/>
  <c r="AD61" i="38" s="1"/>
  <c r="E71" i="38"/>
  <c r="AD71" i="38" s="1"/>
  <c r="E57" i="38"/>
  <c r="AD57" i="38" s="1"/>
  <c r="E77" i="38"/>
  <c r="AD77" i="38" s="1"/>
  <c r="F18" i="10"/>
  <c r="G18" i="10" s="1"/>
  <c r="H18" i="10" s="1"/>
  <c r="F48" i="10"/>
  <c r="G48" i="10" s="1"/>
  <c r="H48" i="10" s="1"/>
  <c r="F82" i="10"/>
  <c r="G82" i="10" s="1"/>
  <c r="H82" i="10" s="1"/>
  <c r="E81" i="30"/>
  <c r="F81" i="30" s="1"/>
  <c r="G81" i="30" s="1"/>
  <c r="H81" i="30" s="1"/>
  <c r="F4" i="10"/>
  <c r="G4" i="10" s="1"/>
  <c r="H4" i="10" s="1"/>
  <c r="F29" i="10"/>
  <c r="G29" i="10" s="1"/>
  <c r="H29" i="10" s="1"/>
  <c r="F32" i="10"/>
  <c r="G32" i="10" s="1"/>
  <c r="H32" i="10" s="1"/>
  <c r="F66" i="10"/>
  <c r="G66" i="10" s="1"/>
  <c r="H66" i="10" s="1"/>
  <c r="E23" i="30"/>
  <c r="F23" i="30" s="1"/>
  <c r="G23" i="30" s="1"/>
  <c r="H23" i="30" s="1"/>
  <c r="E47" i="30"/>
  <c r="F47" i="30" s="1"/>
  <c r="G47" i="30" s="1"/>
  <c r="H47" i="30" s="1"/>
  <c r="E74" i="30"/>
  <c r="F74" i="30" s="1"/>
  <c r="G74" i="30" s="1"/>
  <c r="H74" i="30" s="1"/>
  <c r="E40" i="30"/>
  <c r="F40" i="30" s="1"/>
  <c r="G40" i="30" s="1"/>
  <c r="H40" i="30" s="1"/>
  <c r="E68" i="30"/>
  <c r="F68" i="30" s="1"/>
  <c r="G68" i="30" s="1"/>
  <c r="H68" i="30" s="1"/>
  <c r="F50" i="10"/>
  <c r="G50" i="10" s="1"/>
  <c r="H50" i="10" s="1"/>
  <c r="F71" i="10"/>
  <c r="G71" i="10" s="1"/>
  <c r="H71" i="10" s="1"/>
  <c r="E57" i="37"/>
  <c r="AD57" i="37" s="1"/>
  <c r="E35" i="37"/>
  <c r="AD35" i="37" s="1"/>
  <c r="E61" i="37"/>
  <c r="AD61" i="37" s="1"/>
  <c r="E71" i="37"/>
  <c r="AD71" i="37" s="1"/>
  <c r="E12" i="37"/>
  <c r="AD12" i="37" s="1"/>
  <c r="E78" i="37"/>
  <c r="AD78" i="37" s="1"/>
  <c r="E74" i="37"/>
  <c r="AD74" i="37" s="1"/>
  <c r="E80" i="37"/>
  <c r="AD80" i="37" s="1"/>
  <c r="E6" i="37"/>
  <c r="AD6" i="37" s="1"/>
  <c r="E82" i="37"/>
  <c r="AD82" i="37" s="1"/>
  <c r="E30" i="37"/>
  <c r="AD30" i="37" s="1"/>
  <c r="E53" i="37"/>
  <c r="AD53" i="37" s="1"/>
  <c r="E14" i="37"/>
  <c r="AD14" i="37" s="1"/>
  <c r="E8" i="37"/>
  <c r="AD8" i="37" s="1"/>
  <c r="E34" i="37"/>
  <c r="AD34" i="37" s="1"/>
  <c r="E15" i="37"/>
  <c r="AD15" i="37" s="1"/>
  <c r="E51" i="37"/>
  <c r="AD51" i="37" s="1"/>
  <c r="E45" i="37"/>
  <c r="AD45" i="37" s="1"/>
  <c r="E55" i="37"/>
  <c r="AD55" i="37" s="1"/>
  <c r="E38" i="37"/>
  <c r="AD38" i="37" s="1"/>
  <c r="F37" i="10"/>
  <c r="G37" i="10" s="1"/>
  <c r="H37" i="10" s="1"/>
  <c r="F51" i="10"/>
  <c r="G51" i="10" s="1"/>
  <c r="H51" i="10" s="1"/>
  <c r="E13" i="30"/>
  <c r="F13" i="30" s="1"/>
  <c r="G13" i="30" s="1"/>
  <c r="H13" i="30" s="1"/>
  <c r="E24" i="30"/>
  <c r="F24" i="30" s="1"/>
  <c r="G24" i="30" s="1"/>
  <c r="H24" i="30" s="1"/>
  <c r="E39" i="30"/>
  <c r="F39" i="30" s="1"/>
  <c r="G39" i="30" s="1"/>
  <c r="H39" i="30" s="1"/>
  <c r="E4" i="30"/>
  <c r="F4" i="30" s="1"/>
  <c r="G4" i="30" s="1"/>
  <c r="H4" i="30" s="1"/>
  <c r="E75" i="30"/>
  <c r="F75" i="30" s="1"/>
  <c r="G75" i="30" s="1"/>
  <c r="H75" i="30" s="1"/>
  <c r="E112" i="41"/>
  <c r="D18" i="39"/>
  <c r="D19" i="39" s="1"/>
  <c r="E74" i="36"/>
  <c r="AD74" i="36" s="1"/>
  <c r="E62" i="36"/>
  <c r="AD62" i="36" s="1"/>
  <c r="E59" i="36"/>
  <c r="AD59" i="36" s="1"/>
  <c r="E48" i="36"/>
  <c r="AD48" i="36" s="1"/>
  <c r="E16" i="36"/>
  <c r="AD16" i="36" s="1"/>
  <c r="E30" i="36"/>
  <c r="AD30" i="36" s="1"/>
  <c r="E11" i="36"/>
  <c r="AD11" i="36" s="1"/>
  <c r="E31" i="36"/>
  <c r="AD31" i="36" s="1"/>
  <c r="E63" i="36"/>
  <c r="AD63" i="36" s="1"/>
  <c r="E58" i="36"/>
  <c r="AD58" i="36" s="1"/>
  <c r="E56" i="36"/>
  <c r="AD56" i="36" s="1"/>
  <c r="E7" i="36"/>
  <c r="AD7" i="36" s="1"/>
  <c r="E17" i="36"/>
  <c r="AD17" i="36" s="1"/>
  <c r="E72" i="36"/>
  <c r="AD72" i="36" s="1"/>
  <c r="E5" i="36"/>
  <c r="AD5" i="36" s="1"/>
  <c r="E12" i="36"/>
  <c r="AD12" i="36" s="1"/>
  <c r="E77" i="36"/>
  <c r="AD77" i="36" s="1"/>
  <c r="E19" i="36"/>
  <c r="AD19" i="36" s="1"/>
  <c r="E46" i="36"/>
  <c r="AD46" i="36" s="1"/>
  <c r="E69" i="36"/>
  <c r="AD69" i="36" s="1"/>
  <c r="F57" i="10"/>
  <c r="G57" i="10" s="1"/>
  <c r="H57" i="10" s="1"/>
  <c r="F67" i="10"/>
  <c r="G67" i="10" s="1"/>
  <c r="H67" i="10" s="1"/>
  <c r="F6" i="10"/>
  <c r="G6" i="10" s="1"/>
  <c r="H6" i="10" s="1"/>
  <c r="F11" i="10"/>
  <c r="G11" i="10" s="1"/>
  <c r="H11" i="10" s="1"/>
  <c r="E46" i="38"/>
  <c r="AD46" i="38" s="1"/>
  <c r="E27" i="38"/>
  <c r="AD27" i="38" s="1"/>
  <c r="E10" i="38"/>
  <c r="AD10" i="38" s="1"/>
  <c r="E82" i="38"/>
  <c r="AD82" i="38" s="1"/>
  <c r="E40" i="38"/>
  <c r="AD40" i="38" s="1"/>
  <c r="E59" i="38"/>
  <c r="AD59" i="38" s="1"/>
  <c r="E9" i="38"/>
  <c r="AD9" i="38" s="1"/>
  <c r="E37" i="38"/>
  <c r="AD37" i="38" s="1"/>
  <c r="F42" i="10"/>
  <c r="G42" i="10" s="1"/>
  <c r="H42" i="10" s="1"/>
  <c r="F15" i="10"/>
  <c r="G15" i="10" s="1"/>
  <c r="H15" i="10" s="1"/>
  <c r="F40" i="10"/>
  <c r="G40" i="10" s="1"/>
  <c r="H40" i="10" s="1"/>
  <c r="E52" i="38"/>
  <c r="AD52" i="38" s="1"/>
  <c r="E12" i="38"/>
  <c r="AD12" i="38" s="1"/>
  <c r="E78" i="38"/>
  <c r="AD78" i="38" s="1"/>
  <c r="E44" i="38"/>
  <c r="AD44" i="38" s="1"/>
  <c r="E72" i="38"/>
  <c r="AD72" i="38" s="1"/>
  <c r="E50" i="38"/>
  <c r="AD50" i="38" s="1"/>
  <c r="E45" i="38"/>
  <c r="AD45" i="38" s="1"/>
  <c r="E17" i="38"/>
  <c r="AD17" i="38" s="1"/>
  <c r="E16" i="38"/>
  <c r="AD16" i="38" s="1"/>
  <c r="E33" i="38"/>
  <c r="AD33" i="38" s="1"/>
  <c r="E60" i="38"/>
  <c r="AD60" i="38" s="1"/>
  <c r="E64" i="38"/>
  <c r="AD64" i="38" s="1"/>
  <c r="E66" i="38"/>
  <c r="AD66" i="38" s="1"/>
  <c r="E75" i="38"/>
  <c r="AD75" i="38" s="1"/>
  <c r="E7" i="38"/>
  <c r="AD7" i="38" s="1"/>
  <c r="E35" i="38"/>
  <c r="AD35" i="38" s="1"/>
  <c r="E34" i="38"/>
  <c r="AD34" i="38" s="1"/>
  <c r="E42" i="38"/>
  <c r="AD42" i="38" s="1"/>
  <c r="E55" i="38"/>
  <c r="AD55" i="38" s="1"/>
  <c r="E62" i="38"/>
  <c r="AD62" i="38" s="1"/>
  <c r="E38" i="38"/>
  <c r="AD38" i="38" s="1"/>
  <c r="F27" i="10"/>
  <c r="G27" i="10" s="1"/>
  <c r="H27" i="10" s="1"/>
  <c r="F72" i="10"/>
  <c r="G72" i="10" s="1"/>
  <c r="H72" i="10" s="1"/>
  <c r="F19" i="10"/>
  <c r="G19" i="10" s="1"/>
  <c r="H19" i="10" s="1"/>
  <c r="E84" i="30"/>
  <c r="F84" i="30" s="1"/>
  <c r="G84" i="30" s="1"/>
  <c r="H84" i="30" s="1"/>
  <c r="E73" i="30"/>
  <c r="F73" i="30" s="1"/>
  <c r="G73" i="30" s="1"/>
  <c r="H73" i="30" s="1"/>
  <c r="E62" i="30"/>
  <c r="F62" i="30" s="1"/>
  <c r="G62" i="30" s="1"/>
  <c r="H62" i="30" s="1"/>
  <c r="E53" i="30"/>
  <c r="F53" i="30" s="1"/>
  <c r="G53" i="30" s="1"/>
  <c r="H53" i="30" s="1"/>
  <c r="E34" i="30"/>
  <c r="F34" i="30" s="1"/>
  <c r="G34" i="30" s="1"/>
  <c r="H34" i="30" s="1"/>
  <c r="F62" i="10"/>
  <c r="G62" i="10" s="1"/>
  <c r="H62" i="10" s="1"/>
  <c r="F77" i="10"/>
  <c r="G77" i="10" s="1"/>
  <c r="H77" i="10" s="1"/>
  <c r="F53" i="10"/>
  <c r="G53" i="10" s="1"/>
  <c r="H53" i="10" s="1"/>
  <c r="E31" i="30"/>
  <c r="F31" i="30" s="1"/>
  <c r="G31" i="30" s="1"/>
  <c r="H31" i="30" s="1"/>
  <c r="E8" i="30"/>
  <c r="F8" i="30" s="1"/>
  <c r="G8" i="30" s="1"/>
  <c r="H8" i="30" s="1"/>
  <c r="E79" i="30"/>
  <c r="F79" i="30" s="1"/>
  <c r="G79" i="30" s="1"/>
  <c r="H79" i="30" s="1"/>
  <c r="E9" i="30"/>
  <c r="F9" i="30" s="1"/>
  <c r="G9" i="30" s="1"/>
  <c r="H9" i="30" s="1"/>
  <c r="E27" i="30"/>
  <c r="F27" i="30" s="1"/>
  <c r="G27" i="30" s="1"/>
  <c r="H27" i="30" s="1"/>
  <c r="F10" i="10"/>
  <c r="G10" i="10" s="1"/>
  <c r="H10" i="10" s="1"/>
  <c r="F80" i="10"/>
  <c r="G80" i="10" s="1"/>
  <c r="H80" i="10" s="1"/>
  <c r="F8" i="10"/>
  <c r="G8" i="10" s="1"/>
  <c r="H8" i="10" s="1"/>
  <c r="E11" i="37"/>
  <c r="AD11" i="37" s="1"/>
  <c r="E48" i="37"/>
  <c r="AD48" i="37" s="1"/>
  <c r="E43" i="37"/>
  <c r="AD43" i="37" s="1"/>
  <c r="E65" i="37"/>
  <c r="AD65" i="37" s="1"/>
  <c r="E64" i="37"/>
  <c r="AD64" i="37" s="1"/>
  <c r="E37" i="37"/>
  <c r="AD37" i="37" s="1"/>
  <c r="E75" i="37"/>
  <c r="AD75" i="37" s="1"/>
  <c r="E83" i="37"/>
  <c r="AD83" i="37" s="1"/>
  <c r="E62" i="37"/>
  <c r="AD62" i="37" s="1"/>
  <c r="E68" i="37"/>
  <c r="AD68" i="37" s="1"/>
  <c r="E69" i="37"/>
  <c r="AD69" i="37" s="1"/>
  <c r="E18" i="37"/>
  <c r="AD18" i="37" s="1"/>
  <c r="E70" i="37"/>
  <c r="AD70" i="37" s="1"/>
  <c r="E76" i="37"/>
  <c r="AD76" i="37" s="1"/>
  <c r="E77" i="37"/>
  <c r="AD77" i="37" s="1"/>
  <c r="E24" i="37"/>
  <c r="AD24" i="37" s="1"/>
  <c r="E60" i="37"/>
  <c r="AD60" i="37" s="1"/>
  <c r="E36" i="37"/>
  <c r="AD36" i="37" s="1"/>
  <c r="E23" i="37"/>
  <c r="AD23" i="37" s="1"/>
  <c r="E42" i="37"/>
  <c r="AD42" i="37" s="1"/>
  <c r="E9" i="37"/>
  <c r="AD9" i="37" s="1"/>
  <c r="F70" i="10"/>
  <c r="G70" i="10" s="1"/>
  <c r="H70" i="10" s="1"/>
  <c r="F65" i="10"/>
  <c r="G65" i="10" s="1"/>
  <c r="H65" i="10" s="1"/>
  <c r="E60" i="30"/>
  <c r="F60" i="30" s="1"/>
  <c r="G60" i="30" s="1"/>
  <c r="H60" i="30" s="1"/>
  <c r="E29" i="30"/>
  <c r="F29" i="30" s="1"/>
  <c r="G29" i="30" s="1"/>
  <c r="H29" i="30" s="1"/>
  <c r="E26" i="30"/>
  <c r="F26" i="30" s="1"/>
  <c r="G26" i="30" s="1"/>
  <c r="H26" i="30" s="1"/>
  <c r="E46" i="30"/>
  <c r="F46" i="30" s="1"/>
  <c r="G46" i="30" s="1"/>
  <c r="H46" i="30" s="1"/>
  <c r="F75" i="10"/>
  <c r="G75" i="10" s="1"/>
  <c r="H75" i="10" s="1"/>
  <c r="F31" i="10"/>
  <c r="G31" i="10" s="1"/>
  <c r="H31" i="10" s="1"/>
  <c r="E25" i="36"/>
  <c r="AD25" i="36" s="1"/>
  <c r="E51" i="36"/>
  <c r="AD51" i="36" s="1"/>
  <c r="E47" i="36"/>
  <c r="AD47" i="36" s="1"/>
  <c r="E40" i="36"/>
  <c r="AD40" i="36" s="1"/>
  <c r="E75" i="36"/>
  <c r="AD75" i="36" s="1"/>
  <c r="E13" i="36"/>
  <c r="AD13" i="36" s="1"/>
  <c r="E68" i="36"/>
  <c r="AD68" i="36" s="1"/>
  <c r="E61" i="36"/>
  <c r="AD61" i="36" s="1"/>
  <c r="E83" i="36"/>
  <c r="AD83" i="36" s="1"/>
  <c r="E41" i="36"/>
  <c r="AD41" i="36" s="1"/>
  <c r="E37" i="36"/>
  <c r="AD37" i="36" s="1"/>
  <c r="E42" i="36"/>
  <c r="AD42" i="36" s="1"/>
  <c r="E54" i="36"/>
  <c r="AD54" i="36" s="1"/>
  <c r="E53" i="36"/>
  <c r="AD53" i="36" s="1"/>
  <c r="E21" i="36"/>
  <c r="AD21" i="36" s="1"/>
  <c r="E65" i="36"/>
  <c r="AD65" i="36" s="1"/>
  <c r="E67" i="36"/>
  <c r="AD67" i="36" s="1"/>
  <c r="E82" i="36"/>
  <c r="AD82" i="36" s="1"/>
  <c r="E27" i="36"/>
  <c r="AD27" i="36" s="1"/>
  <c r="E60" i="36"/>
  <c r="AD60" i="36" s="1"/>
  <c r="F69" i="10"/>
  <c r="G69" i="10" s="1"/>
  <c r="H69" i="10" s="1"/>
  <c r="F43" i="10"/>
  <c r="G43" i="10" s="1"/>
  <c r="H43" i="10" s="1"/>
  <c r="F76" i="10"/>
  <c r="G76" i="10" s="1"/>
  <c r="H76" i="10" s="1"/>
  <c r="F41" i="10"/>
  <c r="G41" i="10" s="1"/>
  <c r="H41" i="10" s="1"/>
  <c r="E113" i="18"/>
  <c r="D47" i="17"/>
  <c r="D48" i="17" s="1"/>
  <c r="B192" i="33"/>
  <c r="B66" i="33" s="1"/>
  <c r="B163" i="33"/>
  <c r="B101" i="33" s="1"/>
  <c r="B166" i="33"/>
  <c r="B104" i="33" s="1"/>
  <c r="G157" i="33"/>
  <c r="G92" i="33" s="1"/>
  <c r="E162" i="33"/>
  <c r="E100" i="33" s="1"/>
  <c r="D162" i="33"/>
  <c r="D100" i="33" s="1"/>
  <c r="B160" i="33"/>
  <c r="B95" i="33" s="1"/>
  <c r="B164" i="33"/>
  <c r="B102" i="33" s="1"/>
  <c r="B162" i="33"/>
  <c r="B99" i="33" s="1"/>
  <c r="B65" i="33"/>
  <c r="F162" i="33"/>
  <c r="F100" i="33" s="1"/>
  <c r="E157" i="33"/>
  <c r="E92" i="33" s="1"/>
  <c r="B159" i="33"/>
  <c r="B94" i="33" s="1"/>
  <c r="D157" i="33"/>
  <c r="D92" i="33" s="1"/>
  <c r="B161" i="33"/>
  <c r="B96" i="33" s="1"/>
  <c r="C157" i="33"/>
  <c r="C92" i="33" s="1"/>
  <c r="B165" i="33"/>
  <c r="B103" i="33" s="1"/>
  <c r="B158" i="33"/>
  <c r="B93" i="33" s="1"/>
  <c r="G162" i="33"/>
  <c r="G100" i="33" s="1"/>
  <c r="F157" i="33"/>
  <c r="F92" i="33" s="1"/>
  <c r="C162" i="33"/>
  <c r="C100" i="33" s="1"/>
  <c r="B157" i="33"/>
  <c r="B91" i="33" s="1"/>
  <c r="B188" i="18"/>
  <c r="B28" i="18" s="1"/>
  <c r="C151" i="18"/>
  <c r="C61" i="18" s="1"/>
  <c r="B152" i="18"/>
  <c r="B62" i="18" s="1"/>
  <c r="C145" i="18"/>
  <c r="B150" i="18"/>
  <c r="B58" i="18" s="1"/>
  <c r="E151" i="18"/>
  <c r="E61" i="18" s="1"/>
  <c r="F148" i="18"/>
  <c r="F56" i="18" s="1"/>
  <c r="G151" i="18"/>
  <c r="G61" i="18" s="1"/>
  <c r="D148" i="18"/>
  <c r="D56" i="18" s="1"/>
  <c r="G148" i="18"/>
  <c r="G56" i="18" s="1"/>
  <c r="B149" i="18"/>
  <c r="B57" i="18" s="1"/>
  <c r="D151" i="18"/>
  <c r="D61" i="18" s="1"/>
  <c r="E148" i="18"/>
  <c r="E56" i="18" s="1"/>
  <c r="B148" i="18"/>
  <c r="B56" i="18" s="1"/>
  <c r="F151" i="18"/>
  <c r="F61" i="18" s="1"/>
  <c r="C148" i="18"/>
  <c r="C56" i="18" s="1"/>
  <c r="C36" i="17"/>
  <c r="C37" i="17" s="1"/>
  <c r="F64" i="26"/>
  <c r="AE64" i="26" s="1"/>
  <c r="F41" i="26"/>
  <c r="AE41" i="26" s="1"/>
  <c r="F57" i="26"/>
  <c r="AE57" i="26" s="1"/>
  <c r="F21" i="26"/>
  <c r="AE21" i="26" s="1"/>
  <c r="F24" i="26"/>
  <c r="AE24" i="26" s="1"/>
  <c r="F28" i="26"/>
  <c r="AE28" i="26" s="1"/>
  <c r="F10" i="26"/>
  <c r="AE10" i="26" s="1"/>
  <c r="F75" i="26"/>
  <c r="AE75" i="26" s="1"/>
  <c r="F26" i="26"/>
  <c r="AE26" i="26" s="1"/>
  <c r="F7" i="26"/>
  <c r="AE7" i="26" s="1"/>
  <c r="F39" i="26"/>
  <c r="AE39" i="26" s="1"/>
  <c r="F66" i="26"/>
  <c r="AE66" i="26" s="1"/>
  <c r="F55" i="26"/>
  <c r="AE55" i="26" s="1"/>
  <c r="F5" i="26"/>
  <c r="AE5" i="26" s="1"/>
  <c r="F33" i="26"/>
  <c r="AE33" i="26" s="1"/>
  <c r="F68" i="26"/>
  <c r="AE68" i="26" s="1"/>
  <c r="F16" i="26"/>
  <c r="AE16" i="26" s="1"/>
  <c r="F49" i="26"/>
  <c r="AE49" i="26" s="1"/>
  <c r="F80" i="26"/>
  <c r="AE80" i="26" s="1"/>
  <c r="F31" i="26"/>
  <c r="AE31" i="26" s="1"/>
  <c r="F61" i="26"/>
  <c r="AE61" i="26" s="1"/>
  <c r="F59" i="26"/>
  <c r="AE59" i="26" s="1"/>
  <c r="F22" i="26"/>
  <c r="AE22" i="26" s="1"/>
  <c r="F52" i="26"/>
  <c r="AE52" i="26" s="1"/>
  <c r="F6" i="26"/>
  <c r="AE6" i="26" s="1"/>
  <c r="F38" i="26"/>
  <c r="AE38" i="26" s="1"/>
  <c r="F69" i="26"/>
  <c r="AE69" i="26" s="1"/>
  <c r="F20" i="26"/>
  <c r="AE20" i="26" s="1"/>
  <c r="F63" i="26"/>
  <c r="AE63" i="26" s="1"/>
  <c r="F32" i="26"/>
  <c r="AE32" i="26" s="1"/>
  <c r="F67" i="26"/>
  <c r="AE67" i="26" s="1"/>
  <c r="F13" i="26"/>
  <c r="AE13" i="26" s="1"/>
  <c r="F44" i="26"/>
  <c r="AE44" i="26" s="1"/>
  <c r="F79" i="26"/>
  <c r="AE79" i="26" s="1"/>
  <c r="F30" i="26"/>
  <c r="AE30" i="26" s="1"/>
  <c r="F60" i="26"/>
  <c r="AE60" i="26" s="1"/>
  <c r="F14" i="26"/>
  <c r="AE14" i="26" s="1"/>
  <c r="F43" i="26"/>
  <c r="AE43" i="26" s="1"/>
  <c r="F70" i="26"/>
  <c r="AE70" i="26" s="1"/>
  <c r="F35" i="26"/>
  <c r="AE35" i="26" s="1"/>
  <c r="F12" i="26"/>
  <c r="AE12" i="26" s="1"/>
  <c r="F47" i="26"/>
  <c r="AE47" i="26" s="1"/>
  <c r="F78" i="26"/>
  <c r="AE78" i="26" s="1"/>
  <c r="F25" i="26"/>
  <c r="AE25" i="26" s="1"/>
  <c r="F56" i="26"/>
  <c r="AE56" i="26" s="1"/>
  <c r="F9" i="26"/>
  <c r="AE9" i="26" s="1"/>
  <c r="F42" i="26"/>
  <c r="AE42" i="26" s="1"/>
  <c r="F73" i="26"/>
  <c r="AE73" i="26" s="1"/>
  <c r="F23" i="26"/>
  <c r="AE23" i="26" s="1"/>
  <c r="F54" i="26"/>
  <c r="AE54" i="26" s="1"/>
  <c r="F83" i="26"/>
  <c r="AE83" i="26" s="1"/>
  <c r="F36" i="26"/>
  <c r="AE36" i="26" s="1"/>
  <c r="F71" i="26"/>
  <c r="AE71" i="26" s="1"/>
  <c r="F15" i="26"/>
  <c r="AE15" i="26" s="1"/>
  <c r="F48" i="26"/>
  <c r="AE48" i="26" s="1"/>
  <c r="F82" i="26"/>
  <c r="AE82" i="26" s="1"/>
  <c r="F34" i="26"/>
  <c r="AE34" i="26" s="1"/>
  <c r="F65" i="26"/>
  <c r="AE65" i="26" s="1"/>
  <c r="F17" i="26"/>
  <c r="AE17" i="26" s="1"/>
  <c r="F46" i="26"/>
  <c r="AE46" i="26" s="1"/>
  <c r="F77" i="26"/>
  <c r="AE77" i="26" s="1"/>
  <c r="F40" i="26"/>
  <c r="AE40" i="26" s="1"/>
  <c r="F74" i="26"/>
  <c r="AE74" i="26" s="1"/>
  <c r="F37" i="26"/>
  <c r="AE37" i="26" s="1"/>
  <c r="F72" i="26"/>
  <c r="AE72" i="26" s="1"/>
  <c r="F19" i="26"/>
  <c r="AE19" i="26" s="1"/>
  <c r="F53" i="26"/>
  <c r="AE53" i="26" s="1"/>
  <c r="F4" i="26"/>
  <c r="AE4" i="26" s="1"/>
  <c r="F50" i="26"/>
  <c r="AE50" i="26" s="1"/>
  <c r="F18" i="26"/>
  <c r="AE18" i="26" s="1"/>
  <c r="F51" i="26"/>
  <c r="AE51" i="26" s="1"/>
  <c r="F84" i="26"/>
  <c r="AE84" i="26" s="1"/>
  <c r="F29" i="26"/>
  <c r="AE29" i="26" s="1"/>
  <c r="F62" i="26"/>
  <c r="AE62" i="26" s="1"/>
  <c r="F11" i="26"/>
  <c r="AE11" i="26" s="1"/>
  <c r="F45" i="26"/>
  <c r="AE45" i="26" s="1"/>
  <c r="F76" i="26"/>
  <c r="AE76" i="26" s="1"/>
  <c r="F27" i="26"/>
  <c r="AE27" i="26" s="1"/>
  <c r="F58" i="26"/>
  <c r="AE58" i="26" s="1"/>
  <c r="F8" i="26"/>
  <c r="AE8" i="26" s="1"/>
  <c r="F81" i="26"/>
  <c r="AE81" i="26" s="1"/>
  <c r="X52" i="32" l="1"/>
  <c r="Y52" i="32" s="1"/>
  <c r="Z52" i="32" s="1"/>
  <c r="X45" i="32"/>
  <c r="Y45" i="32" s="1"/>
  <c r="Z45" i="32" s="1"/>
  <c r="X39" i="32"/>
  <c r="Y39" i="32" s="1"/>
  <c r="Z39" i="32" s="1"/>
  <c r="X38" i="32"/>
  <c r="Y38" i="32" s="1"/>
  <c r="Z38" i="32" s="1"/>
  <c r="Y69" i="30"/>
  <c r="Z69" i="30" s="1"/>
  <c r="Y17" i="30"/>
  <c r="Z17" i="30" s="1"/>
  <c r="Y8" i="30"/>
  <c r="Z8" i="30" s="1"/>
  <c r="Y11" i="30"/>
  <c r="Z11" i="30" s="1"/>
  <c r="Y58" i="30"/>
  <c r="Z58" i="30" s="1"/>
  <c r="E113" i="42"/>
  <c r="D47" i="40"/>
  <c r="D48" i="40" s="1"/>
  <c r="Y42" i="30"/>
  <c r="Z42" i="30" s="1"/>
  <c r="Y48" i="30"/>
  <c r="Z48" i="30" s="1"/>
  <c r="Y68" i="30"/>
  <c r="Z68" i="30" s="1"/>
  <c r="Y43" i="30"/>
  <c r="Z43" i="30" s="1"/>
  <c r="Y74" i="30"/>
  <c r="Z74" i="30" s="1"/>
  <c r="Y26" i="30"/>
  <c r="Z26" i="30" s="1"/>
  <c r="Y38" i="30"/>
  <c r="Z38" i="30" s="1"/>
  <c r="Y80" i="30"/>
  <c r="Z80" i="30" s="1"/>
  <c r="Y76" i="30"/>
  <c r="Z76" i="30" s="1"/>
  <c r="Y36" i="30"/>
  <c r="Z36" i="30" s="1"/>
  <c r="Y4" i="30"/>
  <c r="Z4" i="30" s="1"/>
  <c r="Y72" i="30"/>
  <c r="Z72" i="30" s="1"/>
  <c r="Y64" i="30"/>
  <c r="Z64" i="30" s="1"/>
  <c r="Y50" i="30"/>
  <c r="Z50" i="30" s="1"/>
  <c r="Y40" i="30"/>
  <c r="Z40" i="30" s="1"/>
  <c r="Y82" i="30"/>
  <c r="Z82" i="30" s="1"/>
  <c r="Y46" i="30"/>
  <c r="Z46" i="30" s="1"/>
  <c r="Y39" i="30"/>
  <c r="Z39" i="30" s="1"/>
  <c r="Y54" i="30"/>
  <c r="Z54" i="30" s="1"/>
  <c r="Y61" i="30"/>
  <c r="Z61" i="30" s="1"/>
  <c r="Y10" i="30"/>
  <c r="Z10" i="30" s="1"/>
  <c r="Y37" i="30"/>
  <c r="Z37" i="30" s="1"/>
  <c r="Y18" i="30"/>
  <c r="Z18" i="30" s="1"/>
  <c r="Y53" i="30"/>
  <c r="Z53" i="30" s="1"/>
  <c r="Y6" i="30"/>
  <c r="Z6" i="30" s="1"/>
  <c r="Y60" i="30"/>
  <c r="Z60" i="30" s="1"/>
  <c r="Y75" i="30"/>
  <c r="Z75" i="30" s="1"/>
  <c r="Y14" i="30"/>
  <c r="Z14" i="30" s="1"/>
  <c r="Y22" i="30"/>
  <c r="Z22" i="30" s="1"/>
  <c r="Y47" i="30"/>
  <c r="Z47" i="30" s="1"/>
  <c r="Y67" i="30"/>
  <c r="Z67" i="30" s="1"/>
  <c r="Y12" i="30"/>
  <c r="Z12" i="30" s="1"/>
  <c r="Y15" i="30"/>
  <c r="Z15" i="30" s="1"/>
  <c r="Y31" i="30"/>
  <c r="Z31" i="30" s="1"/>
  <c r="Y30" i="30"/>
  <c r="Z30" i="30" s="1"/>
  <c r="Y62" i="30"/>
  <c r="Z62" i="30" s="1"/>
  <c r="Y52" i="30"/>
  <c r="Z52" i="30" s="1"/>
  <c r="Y21" i="30"/>
  <c r="Z21" i="30" s="1"/>
  <c r="Y24" i="30"/>
  <c r="Z24" i="30" s="1"/>
  <c r="Y81" i="30"/>
  <c r="Z81" i="30" s="1"/>
  <c r="Y63" i="30"/>
  <c r="Z63" i="30" s="1"/>
  <c r="Y71" i="30"/>
  <c r="Z71" i="30" s="1"/>
  <c r="Y7" i="30"/>
  <c r="Z7" i="30" s="1"/>
  <c r="Y57" i="30"/>
  <c r="Z57" i="30" s="1"/>
  <c r="Y78" i="30"/>
  <c r="Z78" i="30" s="1"/>
  <c r="Y5" i="30"/>
  <c r="Z5" i="30" s="1"/>
  <c r="Y29" i="30"/>
  <c r="Z29" i="30" s="1"/>
  <c r="Y77" i="30"/>
  <c r="Z77" i="30" s="1"/>
  <c r="Y19" i="30"/>
  <c r="Z19" i="30" s="1"/>
  <c r="Y79" i="30"/>
  <c r="Z79" i="30" s="1"/>
  <c r="Y65" i="30"/>
  <c r="Z65" i="30" s="1"/>
  <c r="Y84" i="30"/>
  <c r="Z84" i="30" s="1"/>
  <c r="Y20" i="30"/>
  <c r="Z20" i="30" s="1"/>
  <c r="Y45" i="30"/>
  <c r="Z45" i="30" s="1"/>
  <c r="Y13" i="30"/>
  <c r="Z13" i="30" s="1"/>
  <c r="Y23" i="30"/>
  <c r="Z23" i="30" s="1"/>
  <c r="Y32" i="30"/>
  <c r="Z32" i="30" s="1"/>
  <c r="Y55" i="30"/>
  <c r="Z55" i="30" s="1"/>
  <c r="Y59" i="30"/>
  <c r="Z59" i="30" s="1"/>
  <c r="Y83" i="30"/>
  <c r="Z83" i="30" s="1"/>
  <c r="Y66" i="30"/>
  <c r="Z66" i="30" s="1"/>
  <c r="Y16" i="30"/>
  <c r="Z16" i="30" s="1"/>
  <c r="Y25" i="30"/>
  <c r="Z25" i="30" s="1"/>
  <c r="Y49" i="30"/>
  <c r="Z49" i="30" s="1"/>
  <c r="Y73" i="30"/>
  <c r="Z73" i="30" s="1"/>
  <c r="Y33" i="30"/>
  <c r="Z33" i="30" s="1"/>
  <c r="Y51" i="30"/>
  <c r="Z51" i="30" s="1"/>
  <c r="Y56" i="30"/>
  <c r="Z56" i="30" s="1"/>
  <c r="Y70" i="30"/>
  <c r="Z70" i="30" s="1"/>
  <c r="Y28" i="30"/>
  <c r="Z28" i="30" s="1"/>
  <c r="Y41" i="30"/>
  <c r="Z41" i="30" s="1"/>
  <c r="Y35" i="30"/>
  <c r="Z35" i="30" s="1"/>
  <c r="Y27" i="30"/>
  <c r="Z27" i="30" s="1"/>
  <c r="Y9" i="30"/>
  <c r="Z9" i="30" s="1"/>
  <c r="Y34" i="30"/>
  <c r="Z34" i="30" s="1"/>
  <c r="B163" i="41"/>
  <c r="B101" i="41" s="1"/>
  <c r="I162" i="41"/>
  <c r="I99" i="41" s="1"/>
  <c r="E113" i="41"/>
  <c r="D47" i="39"/>
  <c r="D48" i="39" s="1"/>
  <c r="E113" i="33"/>
  <c r="D47" i="34"/>
  <c r="D48" i="34" s="1"/>
  <c r="H63" i="32"/>
  <c r="Z4" i="37"/>
  <c r="B162" i="42"/>
  <c r="B99" i="42" s="1"/>
  <c r="D157" i="42"/>
  <c r="D92" i="42" s="1"/>
  <c r="E162" i="42"/>
  <c r="E100" i="42" s="1"/>
  <c r="B165" i="42"/>
  <c r="B103" i="42" s="1"/>
  <c r="D162" i="42"/>
  <c r="D100" i="42" s="1"/>
  <c r="B165" i="41"/>
  <c r="B103" i="41" s="1"/>
  <c r="B164" i="41"/>
  <c r="B102" i="41" s="1"/>
  <c r="B159" i="42"/>
  <c r="B94" i="42" s="1"/>
  <c r="B166" i="41"/>
  <c r="B104" i="41" s="1"/>
  <c r="B158" i="42"/>
  <c r="B93" i="42" s="1"/>
  <c r="B65" i="42"/>
  <c r="C157" i="41"/>
  <c r="C92" i="41" s="1"/>
  <c r="B157" i="42"/>
  <c r="B91" i="42" s="1"/>
  <c r="B160" i="42"/>
  <c r="B95" i="42" s="1"/>
  <c r="G157" i="42"/>
  <c r="G92" i="42" s="1"/>
  <c r="B158" i="41"/>
  <c r="B93" i="41" s="1"/>
  <c r="B65" i="41"/>
  <c r="F157" i="42"/>
  <c r="F92" i="42" s="1"/>
  <c r="C162" i="42"/>
  <c r="C100" i="42" s="1"/>
  <c r="I162" i="42"/>
  <c r="I99" i="42" s="1"/>
  <c r="E162" i="41"/>
  <c r="E100" i="41" s="1"/>
  <c r="F157" i="41"/>
  <c r="F92" i="41" s="1"/>
  <c r="F162" i="42"/>
  <c r="F100" i="42" s="1"/>
  <c r="B164" i="42"/>
  <c r="B102" i="42" s="1"/>
  <c r="B192" i="42"/>
  <c r="B66" i="42" s="1"/>
  <c r="D157" i="41"/>
  <c r="D92" i="41" s="1"/>
  <c r="B166" i="42"/>
  <c r="B104" i="42" s="1"/>
  <c r="B163" i="42"/>
  <c r="B101" i="42" s="1"/>
  <c r="B161" i="42"/>
  <c r="B96" i="42" s="1"/>
  <c r="B159" i="41"/>
  <c r="B94" i="41" s="1"/>
  <c r="G162" i="42"/>
  <c r="G100" i="42" s="1"/>
  <c r="C157" i="42"/>
  <c r="C92" i="42" s="1"/>
  <c r="D162" i="41"/>
  <c r="D100" i="41" s="1"/>
  <c r="B160" i="41"/>
  <c r="B95" i="41" s="1"/>
  <c r="B161" i="41"/>
  <c r="B96" i="41" s="1"/>
  <c r="E157" i="41"/>
  <c r="E92" i="41" s="1"/>
  <c r="G157" i="41"/>
  <c r="G92" i="41" s="1"/>
  <c r="B157" i="41"/>
  <c r="B91" i="41" s="1"/>
  <c r="B192" i="41"/>
  <c r="B66" i="41" s="1"/>
  <c r="B162" i="41"/>
  <c r="B99" i="41" s="1"/>
  <c r="F162" i="41"/>
  <c r="F100" i="41" s="1"/>
  <c r="G162" i="41"/>
  <c r="G100" i="41" s="1"/>
  <c r="C162" i="41"/>
  <c r="C100" i="41" s="1"/>
  <c r="I162" i="18"/>
  <c r="X47" i="32"/>
  <c r="Y47" i="32" s="1"/>
  <c r="Z47" i="32" s="1"/>
  <c r="X66" i="32"/>
  <c r="Y66" i="32" s="1"/>
  <c r="Z66" i="32" s="1"/>
  <c r="X42" i="32"/>
  <c r="Y42" i="32" s="1"/>
  <c r="Z42" i="32" s="1"/>
  <c r="X33" i="32"/>
  <c r="Y33" i="32" s="1"/>
  <c r="Z33" i="32" s="1"/>
  <c r="X63" i="32"/>
  <c r="Y63" i="32" s="1"/>
  <c r="Z63" i="32" s="1"/>
  <c r="C37" i="39"/>
  <c r="F10" i="32"/>
  <c r="G10" i="32" s="1"/>
  <c r="H10" i="32" s="1"/>
  <c r="C36" i="40"/>
  <c r="C37" i="40" s="1"/>
  <c r="C36" i="34"/>
  <c r="C37" i="34" s="1"/>
  <c r="F59" i="32"/>
  <c r="G59" i="32" s="1"/>
  <c r="H59" i="32" s="1"/>
  <c r="F13" i="32"/>
  <c r="G13" i="32" s="1"/>
  <c r="H13" i="32" s="1"/>
  <c r="F35" i="32"/>
  <c r="G35" i="32" s="1"/>
  <c r="H35" i="32" s="1"/>
  <c r="F41" i="32"/>
  <c r="G41" i="32" s="1"/>
  <c r="H41" i="32" s="1"/>
  <c r="F54" i="32"/>
  <c r="G54" i="32" s="1"/>
  <c r="H54" i="32" s="1"/>
  <c r="F49" i="32"/>
  <c r="G49" i="32" s="1"/>
  <c r="H49" i="32" s="1"/>
  <c r="F21" i="32"/>
  <c r="G21" i="32" s="1"/>
  <c r="H21" i="32" s="1"/>
  <c r="F29" i="32"/>
  <c r="G29" i="32" s="1"/>
  <c r="H29" i="32" s="1"/>
  <c r="F82" i="32"/>
  <c r="G82" i="32" s="1"/>
  <c r="H82" i="32" s="1"/>
  <c r="F25" i="32"/>
  <c r="G25" i="32" s="1"/>
  <c r="H25" i="32" s="1"/>
  <c r="F18" i="32"/>
  <c r="G18" i="32" s="1"/>
  <c r="H18" i="32" s="1"/>
  <c r="F52" i="32"/>
  <c r="G52" i="32" s="1"/>
  <c r="H52" i="32" s="1"/>
  <c r="F64" i="32"/>
  <c r="G64" i="32" s="1"/>
  <c r="H64" i="32" s="1"/>
  <c r="F30" i="32"/>
  <c r="G30" i="32" s="1"/>
  <c r="H30" i="32" s="1"/>
  <c r="F79" i="32"/>
  <c r="G79" i="32" s="1"/>
  <c r="H79" i="32" s="1"/>
  <c r="F32" i="32"/>
  <c r="G32" i="32" s="1"/>
  <c r="H32" i="32" s="1"/>
  <c r="F43" i="32"/>
  <c r="G43" i="32" s="1"/>
  <c r="H43" i="32" s="1"/>
  <c r="F51" i="32"/>
  <c r="G51" i="32" s="1"/>
  <c r="H51" i="32" s="1"/>
  <c r="F26" i="32"/>
  <c r="G26" i="32" s="1"/>
  <c r="H26" i="32" s="1"/>
  <c r="F4" i="32"/>
  <c r="G4" i="32" s="1"/>
  <c r="H4" i="32" s="1"/>
  <c r="F42" i="32"/>
  <c r="G42" i="32" s="1"/>
  <c r="H42" i="32" s="1"/>
  <c r="F20" i="32"/>
  <c r="G20" i="32" s="1"/>
  <c r="H20" i="32" s="1"/>
  <c r="F57" i="31"/>
  <c r="G57" i="31" s="1"/>
  <c r="H57" i="31" s="1"/>
  <c r="F34" i="32"/>
  <c r="G34" i="32" s="1"/>
  <c r="H34" i="32" s="1"/>
  <c r="F36" i="32"/>
  <c r="G36" i="32" s="1"/>
  <c r="H36" i="32" s="1"/>
  <c r="F50" i="32"/>
  <c r="G50" i="32" s="1"/>
  <c r="H50" i="32" s="1"/>
  <c r="F53" i="32"/>
  <c r="G53" i="32" s="1"/>
  <c r="H53" i="32" s="1"/>
  <c r="F48" i="32"/>
  <c r="G48" i="32" s="1"/>
  <c r="H48" i="32" s="1"/>
  <c r="F74" i="32"/>
  <c r="G74" i="32" s="1"/>
  <c r="H74" i="32" s="1"/>
  <c r="F59" i="31"/>
  <c r="G59" i="31" s="1"/>
  <c r="H59" i="31" s="1"/>
  <c r="F37" i="32"/>
  <c r="G37" i="32" s="1"/>
  <c r="H37" i="32" s="1"/>
  <c r="F73" i="32"/>
  <c r="G73" i="32" s="1"/>
  <c r="H73" i="32" s="1"/>
  <c r="F60" i="32"/>
  <c r="G60" i="32" s="1"/>
  <c r="H60" i="32" s="1"/>
  <c r="F31" i="32"/>
  <c r="G31" i="32" s="1"/>
  <c r="H31" i="32" s="1"/>
  <c r="F27" i="32"/>
  <c r="G27" i="32" s="1"/>
  <c r="H27" i="32" s="1"/>
  <c r="F71" i="32"/>
  <c r="G71" i="32" s="1"/>
  <c r="H71" i="32" s="1"/>
  <c r="F77" i="32"/>
  <c r="G77" i="32" s="1"/>
  <c r="H77" i="32" s="1"/>
  <c r="F58" i="32"/>
  <c r="G58" i="32" s="1"/>
  <c r="H58" i="32" s="1"/>
  <c r="F81" i="32"/>
  <c r="G81" i="32" s="1"/>
  <c r="H81" i="32" s="1"/>
  <c r="F11" i="32"/>
  <c r="G11" i="32" s="1"/>
  <c r="H11" i="32" s="1"/>
  <c r="F70" i="32"/>
  <c r="G70" i="32" s="1"/>
  <c r="H70" i="32" s="1"/>
  <c r="F66" i="32"/>
  <c r="G66" i="32" s="1"/>
  <c r="H66" i="32" s="1"/>
  <c r="F47" i="32"/>
  <c r="G47" i="32" s="1"/>
  <c r="H47" i="32" s="1"/>
  <c r="F33" i="32"/>
  <c r="G33" i="32" s="1"/>
  <c r="H33" i="32" s="1"/>
  <c r="F78" i="32"/>
  <c r="G78" i="32" s="1"/>
  <c r="H78" i="32" s="1"/>
  <c r="F65" i="32"/>
  <c r="G65" i="32" s="1"/>
  <c r="H65" i="32" s="1"/>
  <c r="F15" i="32"/>
  <c r="G15" i="32" s="1"/>
  <c r="H15" i="32" s="1"/>
  <c r="F45" i="32"/>
  <c r="G45" i="32" s="1"/>
  <c r="H45" i="32" s="1"/>
  <c r="F80" i="32"/>
  <c r="G80" i="32" s="1"/>
  <c r="H80" i="32" s="1"/>
  <c r="F76" i="32"/>
  <c r="G76" i="32" s="1"/>
  <c r="H76" i="32" s="1"/>
  <c r="F61" i="32"/>
  <c r="G61" i="32" s="1"/>
  <c r="H61" i="32" s="1"/>
  <c r="F84" i="32"/>
  <c r="G84" i="32" s="1"/>
  <c r="H84" i="32" s="1"/>
  <c r="F17" i="32"/>
  <c r="G17" i="32" s="1"/>
  <c r="H17" i="32" s="1"/>
  <c r="F22" i="32"/>
  <c r="G22" i="32" s="1"/>
  <c r="H22" i="32" s="1"/>
  <c r="F72" i="32"/>
  <c r="G72" i="32" s="1"/>
  <c r="H72" i="32" s="1"/>
  <c r="F6" i="32"/>
  <c r="G6" i="32" s="1"/>
  <c r="H6" i="32" s="1"/>
  <c r="F19" i="32"/>
  <c r="G19" i="32" s="1"/>
  <c r="H19" i="32" s="1"/>
  <c r="F24" i="32"/>
  <c r="G24" i="32" s="1"/>
  <c r="H24" i="32" s="1"/>
  <c r="F56" i="32"/>
  <c r="G56" i="32" s="1"/>
  <c r="H56" i="32" s="1"/>
  <c r="F12" i="32"/>
  <c r="G12" i="32" s="1"/>
  <c r="H12" i="32" s="1"/>
  <c r="F55" i="32"/>
  <c r="G55" i="32" s="1"/>
  <c r="H55" i="32" s="1"/>
  <c r="F8" i="32"/>
  <c r="G8" i="32" s="1"/>
  <c r="H8" i="32" s="1"/>
  <c r="F62" i="32"/>
  <c r="G62" i="32" s="1"/>
  <c r="H62" i="32" s="1"/>
  <c r="F75" i="32"/>
  <c r="G75" i="32" s="1"/>
  <c r="H75" i="32" s="1"/>
  <c r="F38" i="32"/>
  <c r="G38" i="32" s="1"/>
  <c r="H38" i="32" s="1"/>
  <c r="F9" i="32"/>
  <c r="G9" i="32" s="1"/>
  <c r="H9" i="32" s="1"/>
  <c r="F28" i="32"/>
  <c r="G28" i="32" s="1"/>
  <c r="H28" i="32" s="1"/>
  <c r="F68" i="32"/>
  <c r="G68" i="32" s="1"/>
  <c r="H68" i="32" s="1"/>
  <c r="F7" i="32"/>
  <c r="G7" i="32" s="1"/>
  <c r="H7" i="32" s="1"/>
  <c r="F23" i="32"/>
  <c r="G23" i="32" s="1"/>
  <c r="H23" i="32" s="1"/>
  <c r="F40" i="32"/>
  <c r="G40" i="32" s="1"/>
  <c r="H40" i="32" s="1"/>
  <c r="F16" i="32"/>
  <c r="G16" i="32" s="1"/>
  <c r="H16" i="32" s="1"/>
  <c r="F67" i="32"/>
  <c r="G67" i="32" s="1"/>
  <c r="H67" i="32" s="1"/>
  <c r="F5" i="32"/>
  <c r="G5" i="32" s="1"/>
  <c r="H5" i="32" s="1"/>
  <c r="F14" i="32"/>
  <c r="G14" i="32" s="1"/>
  <c r="H14" i="32" s="1"/>
  <c r="F39" i="32"/>
  <c r="G39" i="32" s="1"/>
  <c r="H39" i="32" s="1"/>
  <c r="F46" i="32"/>
  <c r="G46" i="32" s="1"/>
  <c r="H46" i="32" s="1"/>
  <c r="F83" i="32"/>
  <c r="G83" i="32" s="1"/>
  <c r="H83" i="32" s="1"/>
  <c r="F57" i="32"/>
  <c r="G57" i="32" s="1"/>
  <c r="H57" i="32" s="1"/>
  <c r="F31" i="31"/>
  <c r="G31" i="31" s="1"/>
  <c r="H31" i="31" s="1"/>
  <c r="F14" i="31"/>
  <c r="G14" i="31" s="1"/>
  <c r="H14" i="31" s="1"/>
  <c r="F35" i="31"/>
  <c r="G35" i="31" s="1"/>
  <c r="H35" i="31" s="1"/>
  <c r="F29" i="31"/>
  <c r="G29" i="31" s="1"/>
  <c r="H29" i="31" s="1"/>
  <c r="F7" i="31"/>
  <c r="G7" i="31" s="1"/>
  <c r="H7" i="31" s="1"/>
  <c r="F67" i="31"/>
  <c r="G67" i="31" s="1"/>
  <c r="H67" i="31" s="1"/>
  <c r="F58" i="31"/>
  <c r="G58" i="31" s="1"/>
  <c r="H58" i="31" s="1"/>
  <c r="F69" i="32"/>
  <c r="G69" i="32" s="1"/>
  <c r="H69" i="32" s="1"/>
  <c r="F6" i="31"/>
  <c r="G6" i="31" s="1"/>
  <c r="H6" i="31" s="1"/>
  <c r="F28" i="31"/>
  <c r="G28" i="31" s="1"/>
  <c r="H28" i="31" s="1"/>
  <c r="X58" i="32"/>
  <c r="Y58" i="32" s="1"/>
  <c r="Z58" i="32" s="1"/>
  <c r="F56" i="31"/>
  <c r="G56" i="31" s="1"/>
  <c r="H56" i="31" s="1"/>
  <c r="X55" i="32"/>
  <c r="Y55" i="32" s="1"/>
  <c r="Z55" i="32" s="1"/>
  <c r="F17" i="31"/>
  <c r="G17" i="31" s="1"/>
  <c r="H17" i="31" s="1"/>
  <c r="F23" i="31"/>
  <c r="G23" i="31" s="1"/>
  <c r="H23" i="31" s="1"/>
  <c r="F82" i="31"/>
  <c r="G82" i="31" s="1"/>
  <c r="H82" i="31" s="1"/>
  <c r="F76" i="31"/>
  <c r="G76" i="31" s="1"/>
  <c r="H76" i="31" s="1"/>
  <c r="X9" i="32"/>
  <c r="Y9" i="32" s="1"/>
  <c r="Z9" i="32" s="1"/>
  <c r="F32" i="31"/>
  <c r="G32" i="31" s="1"/>
  <c r="H32" i="31" s="1"/>
  <c r="F62" i="31"/>
  <c r="G62" i="31" s="1"/>
  <c r="H62" i="31" s="1"/>
  <c r="F55" i="31"/>
  <c r="G55" i="31" s="1"/>
  <c r="H55" i="31" s="1"/>
  <c r="F10" i="31"/>
  <c r="G10" i="31" s="1"/>
  <c r="H10" i="31" s="1"/>
  <c r="F13" i="31"/>
  <c r="G13" i="31" s="1"/>
  <c r="H13" i="31" s="1"/>
  <c r="F43" i="31"/>
  <c r="G43" i="31" s="1"/>
  <c r="H43" i="31" s="1"/>
  <c r="F24" i="31"/>
  <c r="G24" i="31" s="1"/>
  <c r="H24" i="31" s="1"/>
  <c r="F25" i="31"/>
  <c r="G25" i="31" s="1"/>
  <c r="H25" i="31" s="1"/>
  <c r="F78" i="31"/>
  <c r="G78" i="31" s="1"/>
  <c r="H78" i="31" s="1"/>
  <c r="F72" i="31"/>
  <c r="G72" i="31" s="1"/>
  <c r="H72" i="31" s="1"/>
  <c r="F16" i="31"/>
  <c r="G16" i="31" s="1"/>
  <c r="H16" i="31" s="1"/>
  <c r="F22" i="31"/>
  <c r="G22" i="31" s="1"/>
  <c r="H22" i="31" s="1"/>
  <c r="F73" i="31"/>
  <c r="G73" i="31" s="1"/>
  <c r="H73" i="31" s="1"/>
  <c r="X25" i="32"/>
  <c r="Y25" i="32" s="1"/>
  <c r="Z25" i="32" s="1"/>
  <c r="X67" i="32"/>
  <c r="Y67" i="32" s="1"/>
  <c r="Z67" i="32" s="1"/>
  <c r="F20" i="31"/>
  <c r="G20" i="31" s="1"/>
  <c r="H20" i="31" s="1"/>
  <c r="F41" i="31"/>
  <c r="G41" i="31" s="1"/>
  <c r="H41" i="31" s="1"/>
  <c r="F60" i="31"/>
  <c r="G60" i="31" s="1"/>
  <c r="H60" i="31" s="1"/>
  <c r="F54" i="31"/>
  <c r="G54" i="31" s="1"/>
  <c r="H54" i="31" s="1"/>
  <c r="X36" i="32"/>
  <c r="Y36" i="32" s="1"/>
  <c r="Z36" i="32" s="1"/>
  <c r="F48" i="31"/>
  <c r="G48" i="31" s="1"/>
  <c r="H48" i="31" s="1"/>
  <c r="F52" i="31"/>
  <c r="G52" i="31" s="1"/>
  <c r="H52" i="31" s="1"/>
  <c r="F36" i="31"/>
  <c r="G36" i="31" s="1"/>
  <c r="H36" i="31" s="1"/>
  <c r="F12" i="31"/>
  <c r="G12" i="31" s="1"/>
  <c r="H12" i="31" s="1"/>
  <c r="F47" i="31"/>
  <c r="G47" i="31" s="1"/>
  <c r="H47" i="31" s="1"/>
  <c r="F81" i="31"/>
  <c r="G81" i="31" s="1"/>
  <c r="H81" i="31" s="1"/>
  <c r="F18" i="31"/>
  <c r="G18" i="31" s="1"/>
  <c r="H18" i="31" s="1"/>
  <c r="F68" i="31"/>
  <c r="G68" i="31" s="1"/>
  <c r="H68" i="31" s="1"/>
  <c r="F75" i="31"/>
  <c r="G75" i="31" s="1"/>
  <c r="H75" i="31" s="1"/>
  <c r="X48" i="32"/>
  <c r="Y48" i="32" s="1"/>
  <c r="Z48" i="32" s="1"/>
  <c r="X51" i="32"/>
  <c r="Y51" i="32" s="1"/>
  <c r="Z51" i="32" s="1"/>
  <c r="X32" i="32"/>
  <c r="Y32" i="32" s="1"/>
  <c r="Z32" i="32" s="1"/>
  <c r="X19" i="32"/>
  <c r="Y19" i="32" s="1"/>
  <c r="Z19" i="32" s="1"/>
  <c r="X78" i="32"/>
  <c r="Y78" i="32" s="1"/>
  <c r="Z78" i="32" s="1"/>
  <c r="F5" i="31"/>
  <c r="G5" i="31" s="1"/>
  <c r="H5" i="31" s="1"/>
  <c r="F61" i="31"/>
  <c r="G61" i="31" s="1"/>
  <c r="H61" i="31" s="1"/>
  <c r="X72" i="32"/>
  <c r="Y72" i="32" s="1"/>
  <c r="Z72" i="32" s="1"/>
  <c r="F26" i="31"/>
  <c r="G26" i="31" s="1"/>
  <c r="H26" i="31" s="1"/>
  <c r="X11" i="32"/>
  <c r="Y11" i="32" s="1"/>
  <c r="Z11" i="32" s="1"/>
  <c r="F50" i="31"/>
  <c r="G50" i="31" s="1"/>
  <c r="H50" i="31" s="1"/>
  <c r="F69" i="31"/>
  <c r="G69" i="31" s="1"/>
  <c r="H69" i="31" s="1"/>
  <c r="F70" i="31"/>
  <c r="G70" i="31" s="1"/>
  <c r="H70" i="31" s="1"/>
  <c r="F34" i="31"/>
  <c r="G34" i="31" s="1"/>
  <c r="H34" i="31" s="1"/>
  <c r="F79" i="31"/>
  <c r="G79" i="31" s="1"/>
  <c r="H79" i="31" s="1"/>
  <c r="F8" i="31"/>
  <c r="G8" i="31" s="1"/>
  <c r="H8" i="31" s="1"/>
  <c r="F30" i="31"/>
  <c r="G30" i="31" s="1"/>
  <c r="H30" i="31" s="1"/>
  <c r="F64" i="31"/>
  <c r="G64" i="31" s="1"/>
  <c r="H64" i="31" s="1"/>
  <c r="F74" i="31"/>
  <c r="G74" i="31" s="1"/>
  <c r="H74" i="31" s="1"/>
  <c r="F27" i="31"/>
  <c r="G27" i="31" s="1"/>
  <c r="H27" i="31" s="1"/>
  <c r="F38" i="31"/>
  <c r="G38" i="31" s="1"/>
  <c r="H38" i="31" s="1"/>
  <c r="F46" i="31"/>
  <c r="G46" i="31" s="1"/>
  <c r="H46" i="31" s="1"/>
  <c r="F42" i="31"/>
  <c r="G42" i="31" s="1"/>
  <c r="H42" i="31" s="1"/>
  <c r="F39" i="31"/>
  <c r="G39" i="31" s="1"/>
  <c r="H39" i="31" s="1"/>
  <c r="F83" i="31"/>
  <c r="G83" i="31" s="1"/>
  <c r="H83" i="31" s="1"/>
  <c r="F84" i="31"/>
  <c r="G84" i="31" s="1"/>
  <c r="H84" i="31" s="1"/>
  <c r="F19" i="31"/>
  <c r="G19" i="31" s="1"/>
  <c r="H19" i="31" s="1"/>
  <c r="F66" i="31"/>
  <c r="G66" i="31" s="1"/>
  <c r="H66" i="31" s="1"/>
  <c r="F45" i="31"/>
  <c r="G45" i="31" s="1"/>
  <c r="H45" i="31" s="1"/>
  <c r="F9" i="31"/>
  <c r="G9" i="31" s="1"/>
  <c r="H9" i="31" s="1"/>
  <c r="F71" i="31"/>
  <c r="G71" i="31" s="1"/>
  <c r="H71" i="31" s="1"/>
  <c r="F4" i="31"/>
  <c r="G4" i="31" s="1"/>
  <c r="H4" i="31" s="1"/>
  <c r="F11" i="31"/>
  <c r="G11" i="31" s="1"/>
  <c r="H11" i="31" s="1"/>
  <c r="F80" i="31"/>
  <c r="G80" i="31" s="1"/>
  <c r="H80" i="31" s="1"/>
  <c r="F21" i="31"/>
  <c r="G21" i="31" s="1"/>
  <c r="H21" i="31" s="1"/>
  <c r="F33" i="31"/>
  <c r="G33" i="31" s="1"/>
  <c r="H33" i="31" s="1"/>
  <c r="F77" i="31"/>
  <c r="G77" i="31" s="1"/>
  <c r="H77" i="31" s="1"/>
  <c r="F40" i="31"/>
  <c r="G40" i="31" s="1"/>
  <c r="H40" i="31" s="1"/>
  <c r="F37" i="31"/>
  <c r="G37" i="31" s="1"/>
  <c r="H37" i="31" s="1"/>
  <c r="X13" i="32"/>
  <c r="Y13" i="32" s="1"/>
  <c r="Z13" i="32" s="1"/>
  <c r="X68" i="32"/>
  <c r="Y68" i="32" s="1"/>
  <c r="Z68" i="32" s="1"/>
  <c r="X40" i="32"/>
  <c r="Y40" i="32" s="1"/>
  <c r="Z40" i="32" s="1"/>
  <c r="X26" i="32"/>
  <c r="Y26" i="32" s="1"/>
  <c r="Z26" i="32" s="1"/>
  <c r="X81" i="32"/>
  <c r="Y81" i="32" s="1"/>
  <c r="Z81" i="32" s="1"/>
  <c r="X12" i="32"/>
  <c r="Y12" i="32" s="1"/>
  <c r="Z12" i="32" s="1"/>
  <c r="X70" i="32"/>
  <c r="Y70" i="32" s="1"/>
  <c r="Z70" i="32" s="1"/>
  <c r="X43" i="32"/>
  <c r="Y43" i="32" s="1"/>
  <c r="Z43" i="32" s="1"/>
  <c r="X59" i="32"/>
  <c r="Y59" i="32" s="1"/>
  <c r="Z59" i="32" s="1"/>
  <c r="X84" i="32"/>
  <c r="Y84" i="32" s="1"/>
  <c r="Z84" i="32" s="1"/>
  <c r="X73" i="32"/>
  <c r="Y73" i="32" s="1"/>
  <c r="Z73" i="32" s="1"/>
  <c r="X29" i="32"/>
  <c r="Y29" i="32" s="1"/>
  <c r="Z29" i="32" s="1"/>
  <c r="X80" i="32"/>
  <c r="Y80" i="32" s="1"/>
  <c r="Z80" i="32" s="1"/>
  <c r="X14" i="32"/>
  <c r="Y14" i="32" s="1"/>
  <c r="Z14" i="32" s="1"/>
  <c r="X69" i="32"/>
  <c r="Y69" i="32" s="1"/>
  <c r="Z69" i="32" s="1"/>
  <c r="X41" i="32"/>
  <c r="Y41" i="32" s="1"/>
  <c r="Z41" i="32" s="1"/>
  <c r="X5" i="32"/>
  <c r="Y5" i="32" s="1"/>
  <c r="Z5" i="32" s="1"/>
  <c r="X22" i="32"/>
  <c r="Y22" i="32" s="1"/>
  <c r="Z22" i="32" s="1"/>
  <c r="X28" i="32"/>
  <c r="Y28" i="32" s="1"/>
  <c r="Z28" i="32" s="1"/>
  <c r="X17" i="32"/>
  <c r="Y17" i="32" s="1"/>
  <c r="Z17" i="32" s="1"/>
  <c r="X64" i="32"/>
  <c r="Y64" i="32" s="1"/>
  <c r="Z64" i="32" s="1"/>
  <c r="X50" i="32"/>
  <c r="Y50" i="32" s="1"/>
  <c r="Z50" i="32" s="1"/>
  <c r="X24" i="32"/>
  <c r="Y24" i="32" s="1"/>
  <c r="Z24" i="32" s="1"/>
  <c r="X54" i="32"/>
  <c r="Y54" i="32" s="1"/>
  <c r="Z54" i="32" s="1"/>
  <c r="X10" i="32"/>
  <c r="Y10" i="32" s="1"/>
  <c r="Z10" i="32" s="1"/>
  <c r="X49" i="32"/>
  <c r="Y49" i="32" s="1"/>
  <c r="Z49" i="32" s="1"/>
  <c r="X23" i="32"/>
  <c r="Y23" i="32" s="1"/>
  <c r="Z23" i="32" s="1"/>
  <c r="X53" i="32"/>
  <c r="Y53" i="32" s="1"/>
  <c r="Z53" i="32" s="1"/>
  <c r="X83" i="32"/>
  <c r="Y83" i="32" s="1"/>
  <c r="Z83" i="32" s="1"/>
  <c r="X61" i="32"/>
  <c r="Y61" i="32" s="1"/>
  <c r="Z61" i="32" s="1"/>
  <c r="X75" i="32"/>
  <c r="Y75" i="32" s="1"/>
  <c r="Z75" i="32" s="1"/>
  <c r="X76" i="32"/>
  <c r="Y76" i="32" s="1"/>
  <c r="Z76" i="32" s="1"/>
  <c r="X77" i="32"/>
  <c r="Y77" i="32" s="1"/>
  <c r="Z77" i="32" s="1"/>
  <c r="X20" i="32"/>
  <c r="Y20" i="32" s="1"/>
  <c r="Z20" i="32" s="1"/>
  <c r="X35" i="32"/>
  <c r="Y35" i="32" s="1"/>
  <c r="Z35" i="32" s="1"/>
  <c r="X56" i="32"/>
  <c r="Y56" i="32" s="1"/>
  <c r="Z56" i="32" s="1"/>
  <c r="X18" i="32"/>
  <c r="Y18" i="32" s="1"/>
  <c r="Z18" i="32" s="1"/>
  <c r="X82" i="32"/>
  <c r="Y82" i="32" s="1"/>
  <c r="Z82" i="32" s="1"/>
  <c r="X6" i="32"/>
  <c r="Y6" i="32" s="1"/>
  <c r="Z6" i="32" s="1"/>
  <c r="X79" i="32"/>
  <c r="Y79" i="32" s="1"/>
  <c r="Z79" i="32" s="1"/>
  <c r="X62" i="32"/>
  <c r="Y62" i="32" s="1"/>
  <c r="Z62" i="32" s="1"/>
  <c r="X74" i="32"/>
  <c r="Y74" i="32" s="1"/>
  <c r="Z74" i="32" s="1"/>
  <c r="X4" i="32"/>
  <c r="Y4" i="32" s="1"/>
  <c r="Z4" i="32" s="1"/>
  <c r="X31" i="32"/>
  <c r="Y31" i="32" s="1"/>
  <c r="Z31" i="32" s="1"/>
  <c r="X8" i="32"/>
  <c r="Y8" i="32" s="1"/>
  <c r="Z8" i="32" s="1"/>
  <c r="X71" i="32"/>
  <c r="Y71" i="32" s="1"/>
  <c r="Z71" i="32" s="1"/>
  <c r="X30" i="32"/>
  <c r="Y30" i="32" s="1"/>
  <c r="Z30" i="32" s="1"/>
  <c r="X15" i="32"/>
  <c r="Y15" i="32" s="1"/>
  <c r="Z15" i="32" s="1"/>
  <c r="X27" i="32"/>
  <c r="Y27" i="32" s="1"/>
  <c r="Z27" i="32" s="1"/>
  <c r="X34" i="32"/>
  <c r="Y34" i="32" s="1"/>
  <c r="Z34" i="32" s="1"/>
  <c r="X7" i="32"/>
  <c r="Y7" i="32" s="1"/>
  <c r="Z7" i="32" s="1"/>
  <c r="X60" i="32"/>
  <c r="Y60" i="32" s="1"/>
  <c r="Z60" i="32" s="1"/>
  <c r="X65" i="32"/>
  <c r="Y65" i="32" s="1"/>
  <c r="Z65" i="32" s="1"/>
  <c r="X21" i="32"/>
  <c r="Y21" i="32" s="1"/>
  <c r="Z21" i="32" s="1"/>
  <c r="X37" i="32"/>
  <c r="Y37" i="32" s="1"/>
  <c r="Z37" i="32" s="1"/>
  <c r="X16" i="32"/>
  <c r="Y16" i="32" s="1"/>
  <c r="Z16" i="32" s="1"/>
  <c r="X57" i="32"/>
  <c r="Y57" i="32" s="1"/>
  <c r="Z57" i="32" s="1"/>
  <c r="B166" i="18"/>
  <c r="B165" i="18"/>
  <c r="F49" i="31"/>
  <c r="G49" i="31" s="1"/>
  <c r="H49" i="31" s="1"/>
  <c r="F15" i="31"/>
  <c r="G15" i="31" s="1"/>
  <c r="H15" i="31" s="1"/>
  <c r="F51" i="31"/>
  <c r="G51" i="31" s="1"/>
  <c r="H51" i="31" s="1"/>
  <c r="F53" i="31"/>
  <c r="G53" i="31" s="1"/>
  <c r="H53" i="31" s="1"/>
  <c r="F65" i="31"/>
  <c r="G65" i="31" s="1"/>
  <c r="H65" i="31" s="1"/>
  <c r="F63" i="31"/>
  <c r="G63" i="31" s="1"/>
  <c r="H63" i="31" s="1"/>
  <c r="F82" i="36"/>
  <c r="AE82" i="36" s="1"/>
  <c r="F40" i="36"/>
  <c r="AE40" i="36" s="1"/>
  <c r="F23" i="37"/>
  <c r="AE23" i="37" s="1"/>
  <c r="F77" i="37"/>
  <c r="AE77" i="37" s="1"/>
  <c r="F70" i="37"/>
  <c r="AE70" i="37" s="1"/>
  <c r="F69" i="37"/>
  <c r="AE69" i="37" s="1"/>
  <c r="F62" i="37"/>
  <c r="AE62" i="37" s="1"/>
  <c r="F75" i="37"/>
  <c r="AE75" i="37" s="1"/>
  <c r="F64" i="37"/>
  <c r="AE64" i="37" s="1"/>
  <c r="F43" i="37"/>
  <c r="AE43" i="37" s="1"/>
  <c r="F11" i="37"/>
  <c r="AE11" i="37" s="1"/>
  <c r="F38" i="38"/>
  <c r="AE38" i="38" s="1"/>
  <c r="F55" i="38"/>
  <c r="AE55" i="38" s="1"/>
  <c r="F34" i="38"/>
  <c r="AE34" i="38" s="1"/>
  <c r="F7" i="38"/>
  <c r="AE7" i="38" s="1"/>
  <c r="F66" i="38"/>
  <c r="AE66" i="38" s="1"/>
  <c r="F60" i="38"/>
  <c r="AE60" i="38" s="1"/>
  <c r="F16" i="38"/>
  <c r="AE16" i="38" s="1"/>
  <c r="F45" i="38"/>
  <c r="AE45" i="38" s="1"/>
  <c r="F72" i="38"/>
  <c r="AE72" i="38" s="1"/>
  <c r="F78" i="38"/>
  <c r="AE78" i="38" s="1"/>
  <c r="F52" i="38"/>
  <c r="AE52" i="38" s="1"/>
  <c r="F77" i="38"/>
  <c r="AE77" i="38" s="1"/>
  <c r="F71" i="38"/>
  <c r="AE71" i="38" s="1"/>
  <c r="F58" i="38"/>
  <c r="AE58" i="38" s="1"/>
  <c r="F25" i="38"/>
  <c r="AE25" i="38" s="1"/>
  <c r="F8" i="38"/>
  <c r="AE8" i="38" s="1"/>
  <c r="F73" i="38"/>
  <c r="AE73" i="38" s="1"/>
  <c r="F36" i="38"/>
  <c r="AE36" i="38" s="1"/>
  <c r="F31" i="38"/>
  <c r="AE31" i="38" s="1"/>
  <c r="F30" i="38"/>
  <c r="AE30" i="38" s="1"/>
  <c r="F69" i="38"/>
  <c r="AE69" i="38" s="1"/>
  <c r="F21" i="37"/>
  <c r="AE21" i="37" s="1"/>
  <c r="F73" i="37"/>
  <c r="AE73" i="37" s="1"/>
  <c r="F17" i="37"/>
  <c r="AE17" i="37" s="1"/>
  <c r="F27" i="37"/>
  <c r="AE27" i="37" s="1"/>
  <c r="F7" i="37"/>
  <c r="AE7" i="37" s="1"/>
  <c r="F20" i="37"/>
  <c r="AE20" i="37" s="1"/>
  <c r="F26" i="37"/>
  <c r="AE26" i="37" s="1"/>
  <c r="F33" i="37"/>
  <c r="AE33" i="37" s="1"/>
  <c r="F19" i="37"/>
  <c r="AE19" i="37" s="1"/>
  <c r="F50" i="37"/>
  <c r="AE50" i="37" s="1"/>
  <c r="F18" i="38"/>
  <c r="AE18" i="38" s="1"/>
  <c r="F81" i="38"/>
  <c r="AE81" i="38" s="1"/>
  <c r="F80" i="38"/>
  <c r="AE80" i="38" s="1"/>
  <c r="F26" i="38"/>
  <c r="AE26" i="38" s="1"/>
  <c r="F20" i="38"/>
  <c r="AE20" i="38" s="1"/>
  <c r="F67" i="38"/>
  <c r="AE67" i="38" s="1"/>
  <c r="F53" i="38"/>
  <c r="AE53" i="38" s="1"/>
  <c r="F84" i="38"/>
  <c r="AE84" i="38" s="1"/>
  <c r="F65" i="38"/>
  <c r="AE65" i="38" s="1"/>
  <c r="F5" i="38"/>
  <c r="AE5" i="38" s="1"/>
  <c r="F76" i="38"/>
  <c r="AE76" i="38" s="1"/>
  <c r="F29" i="38"/>
  <c r="AE29" i="38" s="1"/>
  <c r="F53" i="36"/>
  <c r="AE53" i="36" s="1"/>
  <c r="F41" i="36"/>
  <c r="AE41" i="36" s="1"/>
  <c r="F61" i="36"/>
  <c r="AE61" i="36" s="1"/>
  <c r="F51" i="36"/>
  <c r="AE51" i="36" s="1"/>
  <c r="F60" i="37"/>
  <c r="AE60" i="37" s="1"/>
  <c r="F37" i="38"/>
  <c r="AE37" i="38" s="1"/>
  <c r="F59" i="38"/>
  <c r="AE59" i="38" s="1"/>
  <c r="F82" i="38"/>
  <c r="AE82" i="38" s="1"/>
  <c r="F27" i="38"/>
  <c r="AE27" i="38" s="1"/>
  <c r="F69" i="36"/>
  <c r="AE69" i="36" s="1"/>
  <c r="F19" i="36"/>
  <c r="AE19" i="36" s="1"/>
  <c r="F12" i="36"/>
  <c r="AE12" i="36" s="1"/>
  <c r="F72" i="36"/>
  <c r="AE72" i="36" s="1"/>
  <c r="F7" i="36"/>
  <c r="AE7" i="36" s="1"/>
  <c r="F58" i="36"/>
  <c r="AE58" i="36" s="1"/>
  <c r="F31" i="36"/>
  <c r="AE31" i="36" s="1"/>
  <c r="F30" i="36"/>
  <c r="AE30" i="36" s="1"/>
  <c r="F48" i="36"/>
  <c r="AE48" i="36" s="1"/>
  <c r="F62" i="36"/>
  <c r="AE62" i="36" s="1"/>
  <c r="F55" i="37"/>
  <c r="AE55" i="37" s="1"/>
  <c r="F51" i="37"/>
  <c r="AE51" i="37" s="1"/>
  <c r="F34" i="37"/>
  <c r="AE34" i="37" s="1"/>
  <c r="F14" i="37"/>
  <c r="AE14" i="37" s="1"/>
  <c r="F30" i="37"/>
  <c r="AE30" i="37" s="1"/>
  <c r="F6" i="37"/>
  <c r="AE6" i="37" s="1"/>
  <c r="F74" i="37"/>
  <c r="AE74" i="37" s="1"/>
  <c r="F12" i="37"/>
  <c r="AE12" i="37" s="1"/>
  <c r="F61" i="37"/>
  <c r="AE61" i="37" s="1"/>
  <c r="F57" i="37"/>
  <c r="AE57" i="37" s="1"/>
  <c r="F112" i="42"/>
  <c r="E18" i="40"/>
  <c r="E19" i="40" s="1"/>
  <c r="F22" i="38"/>
  <c r="AE22" i="38" s="1"/>
  <c r="F15" i="38"/>
  <c r="AE15" i="38" s="1"/>
  <c r="F14" i="38"/>
  <c r="AE14" i="38" s="1"/>
  <c r="F51" i="38"/>
  <c r="AE51" i="38" s="1"/>
  <c r="F81" i="36"/>
  <c r="AE81" i="36" s="1"/>
  <c r="F38" i="36"/>
  <c r="AE38" i="36" s="1"/>
  <c r="F29" i="36"/>
  <c r="AE29" i="36" s="1"/>
  <c r="F15" i="36"/>
  <c r="AE15" i="36" s="1"/>
  <c r="F66" i="36"/>
  <c r="AE66" i="36" s="1"/>
  <c r="F22" i="36"/>
  <c r="AE22" i="36" s="1"/>
  <c r="F18" i="36"/>
  <c r="AE18" i="36" s="1"/>
  <c r="F84" i="36"/>
  <c r="AE84" i="36" s="1"/>
  <c r="F8" i="36"/>
  <c r="AE8" i="36" s="1"/>
  <c r="F9" i="36"/>
  <c r="AE9" i="36" s="1"/>
  <c r="F44" i="36"/>
  <c r="AE44" i="36" s="1"/>
  <c r="F73" i="36"/>
  <c r="AE73" i="36" s="1"/>
  <c r="F76" i="36"/>
  <c r="AE76" i="36" s="1"/>
  <c r="F34" i="36"/>
  <c r="AE34" i="36" s="1"/>
  <c r="F71" i="36"/>
  <c r="AE71" i="36" s="1"/>
  <c r="F23" i="36"/>
  <c r="AE23" i="36" s="1"/>
  <c r="F79" i="36"/>
  <c r="AE79" i="36" s="1"/>
  <c r="F49" i="36"/>
  <c r="AE49" i="36" s="1"/>
  <c r="F6" i="36"/>
  <c r="AE6" i="36" s="1"/>
  <c r="F45" i="36"/>
  <c r="AE45" i="36" s="1"/>
  <c r="F32" i="37"/>
  <c r="AE32" i="37" s="1"/>
  <c r="F10" i="37"/>
  <c r="AE10" i="37" s="1"/>
  <c r="F13" i="37"/>
  <c r="AE13" i="37" s="1"/>
  <c r="F49" i="37"/>
  <c r="AE49" i="37" s="1"/>
  <c r="F54" i="37"/>
  <c r="AE54" i="37" s="1"/>
  <c r="F41" i="37"/>
  <c r="AE41" i="37" s="1"/>
  <c r="F79" i="37"/>
  <c r="AE79" i="37" s="1"/>
  <c r="F84" i="37"/>
  <c r="AE84" i="37" s="1"/>
  <c r="F16" i="37"/>
  <c r="AE16" i="37" s="1"/>
  <c r="F63" i="37"/>
  <c r="AE63" i="37" s="1"/>
  <c r="F112" i="33"/>
  <c r="E18" i="34"/>
  <c r="E19" i="34" s="1"/>
  <c r="F113" i="18"/>
  <c r="E47" i="17"/>
  <c r="E48" i="17" s="1"/>
  <c r="F27" i="36"/>
  <c r="AE27" i="36" s="1"/>
  <c r="F67" i="36"/>
  <c r="AE67" i="36" s="1"/>
  <c r="F21" i="36"/>
  <c r="AE21" i="36" s="1"/>
  <c r="F54" i="36"/>
  <c r="AE54" i="36" s="1"/>
  <c r="F37" i="36"/>
  <c r="AE37" i="36" s="1"/>
  <c r="F83" i="36"/>
  <c r="AE83" i="36" s="1"/>
  <c r="F68" i="36"/>
  <c r="AE68" i="36" s="1"/>
  <c r="F75" i="36"/>
  <c r="AE75" i="36" s="1"/>
  <c r="F47" i="36"/>
  <c r="AE47" i="36" s="1"/>
  <c r="F25" i="36"/>
  <c r="AE25" i="36" s="1"/>
  <c r="F42" i="37"/>
  <c r="AE42" i="37" s="1"/>
  <c r="F36" i="37"/>
  <c r="AE36" i="37" s="1"/>
  <c r="F24" i="37"/>
  <c r="AE24" i="37" s="1"/>
  <c r="F76" i="37"/>
  <c r="AE76" i="37" s="1"/>
  <c r="F18" i="37"/>
  <c r="AE18" i="37" s="1"/>
  <c r="F68" i="37"/>
  <c r="AE68" i="37" s="1"/>
  <c r="F83" i="37"/>
  <c r="AE83" i="37" s="1"/>
  <c r="F37" i="37"/>
  <c r="AE37" i="37" s="1"/>
  <c r="F65" i="37"/>
  <c r="AE65" i="37" s="1"/>
  <c r="F48" i="37"/>
  <c r="AE48" i="37" s="1"/>
  <c r="F62" i="38"/>
  <c r="AE62" i="38" s="1"/>
  <c r="F42" i="38"/>
  <c r="AE42" i="38" s="1"/>
  <c r="F35" i="38"/>
  <c r="AE35" i="38" s="1"/>
  <c r="F75" i="38"/>
  <c r="AE75" i="38" s="1"/>
  <c r="F64" i="38"/>
  <c r="AE64" i="38" s="1"/>
  <c r="F33" i="38"/>
  <c r="AE33" i="38" s="1"/>
  <c r="F17" i="38"/>
  <c r="AE17" i="38" s="1"/>
  <c r="F50" i="38"/>
  <c r="AE50" i="38" s="1"/>
  <c r="F44" i="38"/>
  <c r="AE44" i="38" s="1"/>
  <c r="F12" i="38"/>
  <c r="AE12" i="38" s="1"/>
  <c r="F57" i="38"/>
  <c r="AE57" i="38" s="1"/>
  <c r="F61" i="38"/>
  <c r="AE61" i="38" s="1"/>
  <c r="F54" i="38"/>
  <c r="AE54" i="38" s="1"/>
  <c r="F6" i="38"/>
  <c r="AE6" i="38" s="1"/>
  <c r="F83" i="38"/>
  <c r="AE83" i="38" s="1"/>
  <c r="F49" i="38"/>
  <c r="AE49" i="38" s="1"/>
  <c r="F28" i="38"/>
  <c r="AE28" i="38" s="1"/>
  <c r="F32" i="38"/>
  <c r="AE32" i="38" s="1"/>
  <c r="F24" i="38"/>
  <c r="AE24" i="38" s="1"/>
  <c r="F13" i="38"/>
  <c r="AE13" i="38" s="1"/>
  <c r="F72" i="37"/>
  <c r="AE72" i="37" s="1"/>
  <c r="F66" i="37"/>
  <c r="AE66" i="37" s="1"/>
  <c r="F46" i="37"/>
  <c r="AE46" i="37" s="1"/>
  <c r="F39" i="37"/>
  <c r="AE39" i="37" s="1"/>
  <c r="F40" i="37"/>
  <c r="AE40" i="37" s="1"/>
  <c r="F29" i="37"/>
  <c r="AE29" i="37" s="1"/>
  <c r="F44" i="37"/>
  <c r="AE44" i="37" s="1"/>
  <c r="F25" i="37"/>
  <c r="AE25" i="37" s="1"/>
  <c r="F59" i="37"/>
  <c r="AE59" i="37" s="1"/>
  <c r="F31" i="37"/>
  <c r="AE31" i="37" s="1"/>
  <c r="F43" i="38"/>
  <c r="AE43" i="38" s="1"/>
  <c r="F4" i="38"/>
  <c r="AE4" i="38" s="1"/>
  <c r="F79" i="38"/>
  <c r="AE79" i="38" s="1"/>
  <c r="F41" i="38"/>
  <c r="AE41" i="38" s="1"/>
  <c r="F19" i="38"/>
  <c r="AE19" i="38" s="1"/>
  <c r="F48" i="38"/>
  <c r="AE48" i="38" s="1"/>
  <c r="F56" i="38"/>
  <c r="AE56" i="38" s="1"/>
  <c r="F23" i="38"/>
  <c r="AE23" i="38" s="1"/>
  <c r="F63" i="38"/>
  <c r="AE63" i="38" s="1"/>
  <c r="F70" i="38"/>
  <c r="AE70" i="38" s="1"/>
  <c r="F39" i="38"/>
  <c r="AE39" i="38" s="1"/>
  <c r="F11" i="38"/>
  <c r="AE11" i="38" s="1"/>
  <c r="F112" i="18"/>
  <c r="E18" i="17"/>
  <c r="E19" i="17" s="1"/>
  <c r="F60" i="36"/>
  <c r="AE60" i="36" s="1"/>
  <c r="F65" i="36"/>
  <c r="AE65" i="36" s="1"/>
  <c r="F42" i="36"/>
  <c r="AE42" i="36" s="1"/>
  <c r="F13" i="36"/>
  <c r="AE13" i="36" s="1"/>
  <c r="F9" i="37"/>
  <c r="AE9" i="37" s="1"/>
  <c r="F9" i="38"/>
  <c r="AE9" i="38" s="1"/>
  <c r="F40" i="38"/>
  <c r="AE40" i="38" s="1"/>
  <c r="F10" i="38"/>
  <c r="AE10" i="38" s="1"/>
  <c r="F46" i="38"/>
  <c r="AE46" i="38" s="1"/>
  <c r="F46" i="36"/>
  <c r="AE46" i="36" s="1"/>
  <c r="F77" i="36"/>
  <c r="AE77" i="36" s="1"/>
  <c r="F5" i="36"/>
  <c r="AE5" i="36" s="1"/>
  <c r="F17" i="36"/>
  <c r="AE17" i="36" s="1"/>
  <c r="F56" i="36"/>
  <c r="AE56" i="36" s="1"/>
  <c r="F63" i="36"/>
  <c r="AE63" i="36" s="1"/>
  <c r="F11" i="36"/>
  <c r="AE11" i="36" s="1"/>
  <c r="F16" i="36"/>
  <c r="AE16" i="36" s="1"/>
  <c r="F59" i="36"/>
  <c r="AE59" i="36" s="1"/>
  <c r="F74" i="36"/>
  <c r="AE74" i="36" s="1"/>
  <c r="F112" i="41"/>
  <c r="E18" i="39"/>
  <c r="E19" i="39" s="1"/>
  <c r="F38" i="37"/>
  <c r="AE38" i="37" s="1"/>
  <c r="F45" i="37"/>
  <c r="AE45" i="37" s="1"/>
  <c r="F15" i="37"/>
  <c r="AE15" i="37" s="1"/>
  <c r="F8" i="37"/>
  <c r="AE8" i="37" s="1"/>
  <c r="F53" i="37"/>
  <c r="AE53" i="37" s="1"/>
  <c r="F82" i="37"/>
  <c r="AE82" i="37" s="1"/>
  <c r="F80" i="37"/>
  <c r="AE80" i="37" s="1"/>
  <c r="F78" i="37"/>
  <c r="AE78" i="37" s="1"/>
  <c r="F71" i="37"/>
  <c r="AE71" i="37" s="1"/>
  <c r="F35" i="37"/>
  <c r="AE35" i="37" s="1"/>
  <c r="F21" i="38"/>
  <c r="AE21" i="38" s="1"/>
  <c r="F47" i="38"/>
  <c r="AE47" i="38" s="1"/>
  <c r="F74" i="38"/>
  <c r="AE74" i="38" s="1"/>
  <c r="F20" i="36"/>
  <c r="AE20" i="36" s="1"/>
  <c r="F64" i="36"/>
  <c r="AE64" i="36" s="1"/>
  <c r="F52" i="36"/>
  <c r="AE52" i="36" s="1"/>
  <c r="F24" i="36"/>
  <c r="AE24" i="36" s="1"/>
  <c r="F35" i="36"/>
  <c r="AE35" i="36" s="1"/>
  <c r="F78" i="36"/>
  <c r="AE78" i="36" s="1"/>
  <c r="F33" i="36"/>
  <c r="AE33" i="36" s="1"/>
  <c r="F32" i="36"/>
  <c r="AE32" i="36" s="1"/>
  <c r="F70" i="36"/>
  <c r="AE70" i="36" s="1"/>
  <c r="F57" i="36"/>
  <c r="AE57" i="36" s="1"/>
  <c r="F14" i="36"/>
  <c r="AE14" i="36" s="1"/>
  <c r="F10" i="36"/>
  <c r="AE10" i="36" s="1"/>
  <c r="F55" i="36"/>
  <c r="AE55" i="36" s="1"/>
  <c r="F4" i="36"/>
  <c r="AE4" i="36" s="1"/>
  <c r="F36" i="36"/>
  <c r="AE36" i="36" s="1"/>
  <c r="F39" i="36"/>
  <c r="AE39" i="36" s="1"/>
  <c r="F43" i="36"/>
  <c r="AE43" i="36" s="1"/>
  <c r="F50" i="36"/>
  <c r="AE50" i="36" s="1"/>
  <c r="F26" i="36"/>
  <c r="AE26" i="36" s="1"/>
  <c r="F28" i="36"/>
  <c r="AE28" i="36" s="1"/>
  <c r="F80" i="36"/>
  <c r="AE80" i="36" s="1"/>
  <c r="F5" i="37"/>
  <c r="AE5" i="37" s="1"/>
  <c r="F4" i="37"/>
  <c r="AE4" i="37" s="1"/>
  <c r="F58" i="37"/>
  <c r="AE58" i="37" s="1"/>
  <c r="F56" i="37"/>
  <c r="AE56" i="37" s="1"/>
  <c r="F52" i="37"/>
  <c r="AE52" i="37" s="1"/>
  <c r="F47" i="37"/>
  <c r="AE47" i="37" s="1"/>
  <c r="F28" i="37"/>
  <c r="AE28" i="37" s="1"/>
  <c r="F22" i="37"/>
  <c r="AE22" i="37" s="1"/>
  <c r="F67" i="37"/>
  <c r="AE67" i="37" s="1"/>
  <c r="F81" i="37"/>
  <c r="AE81" i="37" s="1"/>
  <c r="F68" i="38"/>
  <c r="AE68" i="38" s="1"/>
  <c r="G157" i="18"/>
  <c r="F157" i="18"/>
  <c r="E157" i="18"/>
  <c r="D157" i="18"/>
  <c r="C157" i="18"/>
  <c r="B162" i="18"/>
  <c r="B192" i="18"/>
  <c r="B66" i="18" s="1"/>
  <c r="B157" i="18"/>
  <c r="B65" i="18"/>
  <c r="G162" i="18"/>
  <c r="C162" i="18"/>
  <c r="B164" i="18"/>
  <c r="B160" i="18"/>
  <c r="F162" i="18"/>
  <c r="B163" i="18"/>
  <c r="B159" i="18"/>
  <c r="B161" i="18"/>
  <c r="E162" i="18"/>
  <c r="B158" i="18"/>
  <c r="D162" i="18"/>
  <c r="D36" i="17"/>
  <c r="D37" i="17" s="1"/>
  <c r="G27" i="26"/>
  <c r="AF27" i="26" s="1"/>
  <c r="G84" i="26"/>
  <c r="AF84" i="26" s="1"/>
  <c r="G4" i="26"/>
  <c r="AF4" i="26" s="1"/>
  <c r="G40" i="26"/>
  <c r="AF40" i="26" s="1"/>
  <c r="G65" i="26"/>
  <c r="AF65" i="26" s="1"/>
  <c r="G15" i="26"/>
  <c r="AF15" i="26" s="1"/>
  <c r="G54" i="26"/>
  <c r="AF54" i="26" s="1"/>
  <c r="G9" i="26"/>
  <c r="AF9" i="26" s="1"/>
  <c r="G35" i="26"/>
  <c r="AF35" i="26" s="1"/>
  <c r="G60" i="26"/>
  <c r="AF60" i="26" s="1"/>
  <c r="G20" i="26"/>
  <c r="AF20" i="26" s="1"/>
  <c r="G7" i="26"/>
  <c r="AF7" i="26" s="1"/>
  <c r="G8" i="26"/>
  <c r="AF8" i="26" s="1"/>
  <c r="G45" i="26"/>
  <c r="AF45" i="26" s="1"/>
  <c r="G62" i="26"/>
  <c r="AF62" i="26" s="1"/>
  <c r="G18" i="26"/>
  <c r="AF18" i="26" s="1"/>
  <c r="G19" i="26"/>
  <c r="AF19" i="26" s="1"/>
  <c r="G37" i="26"/>
  <c r="AF37" i="26" s="1"/>
  <c r="G46" i="26"/>
  <c r="AF46" i="26" s="1"/>
  <c r="G82" i="26"/>
  <c r="AF82" i="26" s="1"/>
  <c r="G36" i="26"/>
  <c r="AF36" i="26" s="1"/>
  <c r="G73" i="26"/>
  <c r="AF73" i="26" s="1"/>
  <c r="G25" i="26"/>
  <c r="AF25" i="26" s="1"/>
  <c r="G47" i="26"/>
  <c r="AF47" i="26" s="1"/>
  <c r="G43" i="26"/>
  <c r="AF43" i="26" s="1"/>
  <c r="G79" i="26"/>
  <c r="AF79" i="26" s="1"/>
  <c r="G13" i="26"/>
  <c r="AF13" i="26" s="1"/>
  <c r="G32" i="26"/>
  <c r="AF32" i="26" s="1"/>
  <c r="G38" i="26"/>
  <c r="AF38" i="26" s="1"/>
  <c r="G52" i="26"/>
  <c r="AF52" i="26" s="1"/>
  <c r="G59" i="26"/>
  <c r="AF59" i="26" s="1"/>
  <c r="G31" i="26"/>
  <c r="AF31" i="26" s="1"/>
  <c r="G49" i="26"/>
  <c r="AF49" i="26" s="1"/>
  <c r="G68" i="26"/>
  <c r="AF68" i="26" s="1"/>
  <c r="G5" i="26"/>
  <c r="AF5" i="26" s="1"/>
  <c r="G66" i="26"/>
  <c r="AF66" i="26" s="1"/>
  <c r="G75" i="26"/>
  <c r="AF75" i="26" s="1"/>
  <c r="G28" i="26"/>
  <c r="AF28" i="26" s="1"/>
  <c r="G21" i="26"/>
  <c r="AF21" i="26" s="1"/>
  <c r="G41" i="26"/>
  <c r="AF41" i="26" s="1"/>
  <c r="G81" i="26"/>
  <c r="AF81" i="26" s="1"/>
  <c r="G58" i="26"/>
  <c r="AF58" i="26" s="1"/>
  <c r="G76" i="26"/>
  <c r="AF76" i="26" s="1"/>
  <c r="G11" i="26"/>
  <c r="AF11" i="26" s="1"/>
  <c r="G29" i="26"/>
  <c r="AF29" i="26" s="1"/>
  <c r="G51" i="26"/>
  <c r="AF51" i="26" s="1"/>
  <c r="G50" i="26"/>
  <c r="AF50" i="26" s="1"/>
  <c r="G53" i="26"/>
  <c r="AF53" i="26" s="1"/>
  <c r="G72" i="26"/>
  <c r="AF72" i="26" s="1"/>
  <c r="G74" i="26"/>
  <c r="AF74" i="26" s="1"/>
  <c r="G77" i="26"/>
  <c r="AF77" i="26" s="1"/>
  <c r="G17" i="26"/>
  <c r="AF17" i="26" s="1"/>
  <c r="G34" i="26"/>
  <c r="AF34" i="26" s="1"/>
  <c r="G48" i="26"/>
  <c r="AF48" i="26" s="1"/>
  <c r="G71" i="26"/>
  <c r="AF71" i="26" s="1"/>
  <c r="G83" i="26"/>
  <c r="AF83" i="26" s="1"/>
  <c r="G23" i="26"/>
  <c r="AF23" i="26" s="1"/>
  <c r="G42" i="26"/>
  <c r="AF42" i="26" s="1"/>
  <c r="G56" i="26"/>
  <c r="AF56" i="26" s="1"/>
  <c r="G78" i="26"/>
  <c r="AF78" i="26" s="1"/>
  <c r="G12" i="26"/>
  <c r="AF12" i="26" s="1"/>
  <c r="G70" i="26"/>
  <c r="AF70" i="26" s="1"/>
  <c r="G14" i="26"/>
  <c r="AF14" i="26" s="1"/>
  <c r="G30" i="26"/>
  <c r="AF30" i="26" s="1"/>
  <c r="G44" i="26"/>
  <c r="AF44" i="26" s="1"/>
  <c r="G67" i="26"/>
  <c r="AF67" i="26" s="1"/>
  <c r="G63" i="26"/>
  <c r="AF63" i="26" s="1"/>
  <c r="G69" i="26"/>
  <c r="AF69" i="26" s="1"/>
  <c r="G6" i="26"/>
  <c r="AF6" i="26" s="1"/>
  <c r="G22" i="26"/>
  <c r="AF22" i="26" s="1"/>
  <c r="G61" i="26"/>
  <c r="AF61" i="26" s="1"/>
  <c r="G80" i="26"/>
  <c r="AF80" i="26" s="1"/>
  <c r="G16" i="26"/>
  <c r="AF16" i="26" s="1"/>
  <c r="G33" i="26"/>
  <c r="AF33" i="26" s="1"/>
  <c r="G55" i="26"/>
  <c r="AF55" i="26" s="1"/>
  <c r="G39" i="26"/>
  <c r="AF39" i="26" s="1"/>
  <c r="G26" i="26"/>
  <c r="AF26" i="26" s="1"/>
  <c r="G10" i="26"/>
  <c r="AF10" i="26" s="1"/>
  <c r="G24" i="26"/>
  <c r="AF24" i="26" s="1"/>
  <c r="G57" i="26"/>
  <c r="AF57" i="26" s="1"/>
  <c r="G64" i="26"/>
  <c r="AF64" i="26" s="1"/>
  <c r="D52" i="17"/>
  <c r="E13" i="17"/>
  <c r="F13" i="17"/>
  <c r="G52" i="17"/>
  <c r="C52" i="17"/>
  <c r="F113" i="42" l="1"/>
  <c r="E47" i="40"/>
  <c r="E48" i="40" s="1"/>
  <c r="F113" i="33"/>
  <c r="E47" i="34"/>
  <c r="E48" i="34" s="1"/>
  <c r="F113" i="41"/>
  <c r="E47" i="39"/>
  <c r="E48" i="39" s="1"/>
  <c r="E36" i="17"/>
  <c r="E37" i="17" s="1"/>
  <c r="D36" i="40"/>
  <c r="D37" i="40" s="1"/>
  <c r="D36" i="34"/>
  <c r="D37" i="34" s="1"/>
  <c r="D36" i="39"/>
  <c r="D37" i="39" s="1"/>
  <c r="G68" i="38"/>
  <c r="AF68" i="38" s="1"/>
  <c r="G67" i="37"/>
  <c r="AF67" i="37" s="1"/>
  <c r="G28" i="37"/>
  <c r="AF28" i="37" s="1"/>
  <c r="G52" i="37"/>
  <c r="AF52" i="37" s="1"/>
  <c r="G58" i="37"/>
  <c r="AF58" i="37" s="1"/>
  <c r="G5" i="37"/>
  <c r="AF5" i="37" s="1"/>
  <c r="G28" i="36"/>
  <c r="AF28" i="36" s="1"/>
  <c r="G50" i="36"/>
  <c r="AF50" i="36" s="1"/>
  <c r="G39" i="36"/>
  <c r="AF39" i="36" s="1"/>
  <c r="G4" i="36"/>
  <c r="AF4" i="36" s="1"/>
  <c r="G10" i="36"/>
  <c r="AF10" i="36" s="1"/>
  <c r="G57" i="36"/>
  <c r="AF57" i="36" s="1"/>
  <c r="G32" i="36"/>
  <c r="AF32" i="36" s="1"/>
  <c r="G78" i="36"/>
  <c r="AF78" i="36" s="1"/>
  <c r="G24" i="36"/>
  <c r="AF24" i="36" s="1"/>
  <c r="G64" i="36"/>
  <c r="AF64" i="36" s="1"/>
  <c r="G74" i="38"/>
  <c r="AF74" i="38" s="1"/>
  <c r="G21" i="38"/>
  <c r="AF21" i="38" s="1"/>
  <c r="G35" i="37"/>
  <c r="AF35" i="37" s="1"/>
  <c r="G78" i="37"/>
  <c r="AF78" i="37" s="1"/>
  <c r="G82" i="37"/>
  <c r="AF82" i="37" s="1"/>
  <c r="G8" i="37"/>
  <c r="AF8" i="37" s="1"/>
  <c r="G45" i="37"/>
  <c r="AF45" i="37" s="1"/>
  <c r="G112" i="41"/>
  <c r="G18" i="39" s="1"/>
  <c r="G19" i="39" s="1"/>
  <c r="F18" i="39"/>
  <c r="F19" i="39" s="1"/>
  <c r="G59" i="36"/>
  <c r="AF59" i="36" s="1"/>
  <c r="G11" i="36"/>
  <c r="AF11" i="36" s="1"/>
  <c r="G56" i="36"/>
  <c r="AF56" i="36" s="1"/>
  <c r="G5" i="36"/>
  <c r="AF5" i="36" s="1"/>
  <c r="G46" i="36"/>
  <c r="AF46" i="36" s="1"/>
  <c r="G10" i="38"/>
  <c r="AF10" i="38" s="1"/>
  <c r="G9" i="38"/>
  <c r="AF9" i="38" s="1"/>
  <c r="G13" i="36"/>
  <c r="AF13" i="36" s="1"/>
  <c r="G65" i="36"/>
  <c r="AF65" i="36" s="1"/>
  <c r="G112" i="18"/>
  <c r="G18" i="17" s="1"/>
  <c r="G19" i="17" s="1"/>
  <c r="F18" i="17"/>
  <c r="F19" i="17" s="1"/>
  <c r="G39" i="38"/>
  <c r="AF39" i="38" s="1"/>
  <c r="G63" i="38"/>
  <c r="AF63" i="38" s="1"/>
  <c r="G56" i="38"/>
  <c r="AF56" i="38" s="1"/>
  <c r="G19" i="38"/>
  <c r="AF19" i="38" s="1"/>
  <c r="G79" i="38"/>
  <c r="AF79" i="38" s="1"/>
  <c r="G43" i="38"/>
  <c r="AF43" i="38" s="1"/>
  <c r="G59" i="37"/>
  <c r="AF59" i="37" s="1"/>
  <c r="G44" i="37"/>
  <c r="AF44" i="37" s="1"/>
  <c r="G40" i="37"/>
  <c r="AF40" i="37" s="1"/>
  <c r="G46" i="37"/>
  <c r="AF46" i="37" s="1"/>
  <c r="G72" i="37"/>
  <c r="AF72" i="37" s="1"/>
  <c r="G24" i="38"/>
  <c r="AF24" i="38" s="1"/>
  <c r="G28" i="38"/>
  <c r="AF28" i="38" s="1"/>
  <c r="G83" i="38"/>
  <c r="AF83" i="38" s="1"/>
  <c r="G54" i="38"/>
  <c r="AF54" i="38" s="1"/>
  <c r="G57" i="38"/>
  <c r="AF57" i="38" s="1"/>
  <c r="G44" i="38"/>
  <c r="AF44" i="38" s="1"/>
  <c r="G17" i="38"/>
  <c r="AF17" i="38" s="1"/>
  <c r="G64" i="38"/>
  <c r="AF64" i="38" s="1"/>
  <c r="G35" i="38"/>
  <c r="AF35" i="38" s="1"/>
  <c r="G62" i="38"/>
  <c r="AF62" i="38" s="1"/>
  <c r="G65" i="37"/>
  <c r="AF65" i="37" s="1"/>
  <c r="G83" i="37"/>
  <c r="AF83" i="37" s="1"/>
  <c r="G18" i="37"/>
  <c r="AF18" i="37" s="1"/>
  <c r="G24" i="37"/>
  <c r="AF24" i="37" s="1"/>
  <c r="G42" i="37"/>
  <c r="AF42" i="37" s="1"/>
  <c r="G47" i="36"/>
  <c r="AF47" i="36" s="1"/>
  <c r="G68" i="36"/>
  <c r="AF68" i="36" s="1"/>
  <c r="G37" i="36"/>
  <c r="AF37" i="36" s="1"/>
  <c r="G21" i="36"/>
  <c r="AF21" i="36" s="1"/>
  <c r="G27" i="36"/>
  <c r="AF27" i="36" s="1"/>
  <c r="G63" i="37"/>
  <c r="AF63" i="37" s="1"/>
  <c r="G84" i="37"/>
  <c r="AF84" i="37" s="1"/>
  <c r="G41" i="37"/>
  <c r="AF41" i="37" s="1"/>
  <c r="G49" i="37"/>
  <c r="AF49" i="37" s="1"/>
  <c r="G10" i="37"/>
  <c r="AF10" i="37" s="1"/>
  <c r="G6" i="36"/>
  <c r="AF6" i="36" s="1"/>
  <c r="G79" i="36"/>
  <c r="AF79" i="36" s="1"/>
  <c r="G71" i="36"/>
  <c r="AF71" i="36" s="1"/>
  <c r="G76" i="36"/>
  <c r="AF76" i="36" s="1"/>
  <c r="G44" i="36"/>
  <c r="AF44" i="36" s="1"/>
  <c r="G8" i="36"/>
  <c r="AF8" i="36" s="1"/>
  <c r="G18" i="36"/>
  <c r="AF18" i="36" s="1"/>
  <c r="G66" i="36"/>
  <c r="AF66" i="36" s="1"/>
  <c r="G29" i="36"/>
  <c r="AF29" i="36" s="1"/>
  <c r="G81" i="36"/>
  <c r="AF81" i="36" s="1"/>
  <c r="G14" i="38"/>
  <c r="AF14" i="38" s="1"/>
  <c r="G22" i="38"/>
  <c r="AF22" i="38" s="1"/>
  <c r="G57" i="37"/>
  <c r="AF57" i="37" s="1"/>
  <c r="G12" i="37"/>
  <c r="AF12" i="37" s="1"/>
  <c r="G6" i="37"/>
  <c r="AF6" i="37" s="1"/>
  <c r="G14" i="37"/>
  <c r="AF14" i="37" s="1"/>
  <c r="G51" i="37"/>
  <c r="AF51" i="37" s="1"/>
  <c r="G62" i="36"/>
  <c r="AF62" i="36" s="1"/>
  <c r="G30" i="36"/>
  <c r="AF30" i="36" s="1"/>
  <c r="G58" i="36"/>
  <c r="AF58" i="36" s="1"/>
  <c r="G72" i="36"/>
  <c r="AF72" i="36" s="1"/>
  <c r="G19" i="36"/>
  <c r="AF19" i="36" s="1"/>
  <c r="G27" i="38"/>
  <c r="AF27" i="38" s="1"/>
  <c r="G59" i="38"/>
  <c r="AF59" i="38" s="1"/>
  <c r="G60" i="37"/>
  <c r="AF60" i="37" s="1"/>
  <c r="G61" i="36"/>
  <c r="AF61" i="36" s="1"/>
  <c r="G53" i="36"/>
  <c r="AF53" i="36" s="1"/>
  <c r="G76" i="38"/>
  <c r="AF76" i="38" s="1"/>
  <c r="G65" i="38"/>
  <c r="AF65" i="38" s="1"/>
  <c r="G53" i="38"/>
  <c r="AF53" i="38" s="1"/>
  <c r="G20" i="38"/>
  <c r="AF20" i="38" s="1"/>
  <c r="G80" i="38"/>
  <c r="AF80" i="38" s="1"/>
  <c r="G18" i="38"/>
  <c r="AF18" i="38" s="1"/>
  <c r="G19" i="37"/>
  <c r="AF19" i="37" s="1"/>
  <c r="G26" i="37"/>
  <c r="AF26" i="37" s="1"/>
  <c r="G7" i="37"/>
  <c r="AF7" i="37" s="1"/>
  <c r="G17" i="37"/>
  <c r="AF17" i="37" s="1"/>
  <c r="G21" i="37"/>
  <c r="AF21" i="37" s="1"/>
  <c r="G69" i="38"/>
  <c r="AF69" i="38" s="1"/>
  <c r="G31" i="38"/>
  <c r="AF31" i="38" s="1"/>
  <c r="G73" i="38"/>
  <c r="AF73" i="38" s="1"/>
  <c r="G25" i="38"/>
  <c r="AF25" i="38" s="1"/>
  <c r="G71" i="38"/>
  <c r="AF71" i="38" s="1"/>
  <c r="G52" i="38"/>
  <c r="AF52" i="38" s="1"/>
  <c r="G72" i="38"/>
  <c r="AF72" i="38" s="1"/>
  <c r="G16" i="38"/>
  <c r="AF16" i="38" s="1"/>
  <c r="G66" i="38"/>
  <c r="AF66" i="38" s="1"/>
  <c r="G34" i="38"/>
  <c r="AF34" i="38" s="1"/>
  <c r="E36" i="40"/>
  <c r="E37" i="40" s="1"/>
  <c r="G38" i="38"/>
  <c r="AF38" i="38" s="1"/>
  <c r="G43" i="37"/>
  <c r="AF43" i="37" s="1"/>
  <c r="G75" i="37"/>
  <c r="AF75" i="37" s="1"/>
  <c r="G69" i="37"/>
  <c r="AF69" i="37" s="1"/>
  <c r="G77" i="37"/>
  <c r="AF77" i="37" s="1"/>
  <c r="G40" i="36"/>
  <c r="AF40" i="36" s="1"/>
  <c r="G81" i="37"/>
  <c r="AF81" i="37" s="1"/>
  <c r="G22" i="37"/>
  <c r="AF22" i="37" s="1"/>
  <c r="G47" i="37"/>
  <c r="AF47" i="37" s="1"/>
  <c r="G56" i="37"/>
  <c r="AF56" i="37" s="1"/>
  <c r="G4" i="37"/>
  <c r="AF4" i="37" s="1"/>
  <c r="G80" i="36"/>
  <c r="AF80" i="36" s="1"/>
  <c r="G26" i="36"/>
  <c r="AF26" i="36" s="1"/>
  <c r="G43" i="36"/>
  <c r="AF43" i="36" s="1"/>
  <c r="G36" i="36"/>
  <c r="AF36" i="36" s="1"/>
  <c r="G55" i="36"/>
  <c r="AF55" i="36" s="1"/>
  <c r="G14" i="36"/>
  <c r="AF14" i="36" s="1"/>
  <c r="G70" i="36"/>
  <c r="AF70" i="36" s="1"/>
  <c r="G33" i="36"/>
  <c r="AF33" i="36" s="1"/>
  <c r="G35" i="36"/>
  <c r="AF35" i="36" s="1"/>
  <c r="G52" i="36"/>
  <c r="AF52" i="36" s="1"/>
  <c r="G20" i="36"/>
  <c r="AF20" i="36" s="1"/>
  <c r="G47" i="38"/>
  <c r="AF47" i="38" s="1"/>
  <c r="G71" i="37"/>
  <c r="AF71" i="37" s="1"/>
  <c r="G80" i="37"/>
  <c r="AF80" i="37" s="1"/>
  <c r="G53" i="37"/>
  <c r="AF53" i="37" s="1"/>
  <c r="G15" i="37"/>
  <c r="AF15" i="37" s="1"/>
  <c r="G38" i="37"/>
  <c r="AF38" i="37" s="1"/>
  <c r="G74" i="36"/>
  <c r="AF74" i="36" s="1"/>
  <c r="G16" i="36"/>
  <c r="AF16" i="36" s="1"/>
  <c r="G63" i="36"/>
  <c r="AF63" i="36" s="1"/>
  <c r="G17" i="36"/>
  <c r="AF17" i="36" s="1"/>
  <c r="G77" i="36"/>
  <c r="AF77" i="36" s="1"/>
  <c r="G46" i="38"/>
  <c r="AF46" i="38" s="1"/>
  <c r="G40" i="38"/>
  <c r="AF40" i="38" s="1"/>
  <c r="G9" i="37"/>
  <c r="AF9" i="37" s="1"/>
  <c r="G42" i="36"/>
  <c r="AF42" i="36" s="1"/>
  <c r="G60" i="36"/>
  <c r="AF60" i="36" s="1"/>
  <c r="G11" i="38"/>
  <c r="AF11" i="38" s="1"/>
  <c r="G70" i="38"/>
  <c r="AF70" i="38" s="1"/>
  <c r="G23" i="38"/>
  <c r="AF23" i="38" s="1"/>
  <c r="G48" i="38"/>
  <c r="AF48" i="38" s="1"/>
  <c r="G41" i="38"/>
  <c r="AF41" i="38" s="1"/>
  <c r="G4" i="38"/>
  <c r="AF4" i="38" s="1"/>
  <c r="G31" i="37"/>
  <c r="AF31" i="37" s="1"/>
  <c r="G25" i="37"/>
  <c r="AF25" i="37" s="1"/>
  <c r="G29" i="37"/>
  <c r="AF29" i="37" s="1"/>
  <c r="G39" i="37"/>
  <c r="AF39" i="37" s="1"/>
  <c r="G66" i="37"/>
  <c r="AF66" i="37" s="1"/>
  <c r="G13" i="38"/>
  <c r="AF13" i="38" s="1"/>
  <c r="G32" i="38"/>
  <c r="AF32" i="38" s="1"/>
  <c r="G49" i="38"/>
  <c r="AF49" i="38" s="1"/>
  <c r="G6" i="38"/>
  <c r="AF6" i="38" s="1"/>
  <c r="G61" i="38"/>
  <c r="AF61" i="38" s="1"/>
  <c r="G12" i="38"/>
  <c r="AF12" i="38" s="1"/>
  <c r="G50" i="38"/>
  <c r="AF50" i="38" s="1"/>
  <c r="G33" i="38"/>
  <c r="AF33" i="38" s="1"/>
  <c r="G75" i="38"/>
  <c r="AF75" i="38" s="1"/>
  <c r="G42" i="38"/>
  <c r="AF42" i="38" s="1"/>
  <c r="G48" i="37"/>
  <c r="AF48" i="37" s="1"/>
  <c r="G37" i="37"/>
  <c r="AF37" i="37" s="1"/>
  <c r="G68" i="37"/>
  <c r="AF68" i="37" s="1"/>
  <c r="G76" i="37"/>
  <c r="AF76" i="37" s="1"/>
  <c r="G36" i="37"/>
  <c r="AF36" i="37" s="1"/>
  <c r="G25" i="36"/>
  <c r="AF25" i="36" s="1"/>
  <c r="G75" i="36"/>
  <c r="AF75" i="36" s="1"/>
  <c r="G83" i="36"/>
  <c r="AF83" i="36" s="1"/>
  <c r="G54" i="36"/>
  <c r="AF54" i="36" s="1"/>
  <c r="G67" i="36"/>
  <c r="AF67" i="36" s="1"/>
  <c r="G113" i="18"/>
  <c r="G47" i="17" s="1"/>
  <c r="G48" i="17" s="1"/>
  <c r="F47" i="17"/>
  <c r="F48" i="17" s="1"/>
  <c r="G112" i="33"/>
  <c r="G18" i="34" s="1"/>
  <c r="G19" i="34" s="1"/>
  <c r="F18" i="34"/>
  <c r="F19" i="34" s="1"/>
  <c r="G16" i="37"/>
  <c r="AF16" i="37" s="1"/>
  <c r="G79" i="37"/>
  <c r="AF79" i="37" s="1"/>
  <c r="G54" i="37"/>
  <c r="AF54" i="37" s="1"/>
  <c r="G13" i="37"/>
  <c r="AF13" i="37" s="1"/>
  <c r="G32" i="37"/>
  <c r="AF32" i="37" s="1"/>
  <c r="G45" i="36"/>
  <c r="AF45" i="36" s="1"/>
  <c r="G49" i="36"/>
  <c r="AF49" i="36" s="1"/>
  <c r="G23" i="36"/>
  <c r="AF23" i="36" s="1"/>
  <c r="G34" i="36"/>
  <c r="AF34" i="36" s="1"/>
  <c r="G73" i="36"/>
  <c r="AF73" i="36" s="1"/>
  <c r="G9" i="36"/>
  <c r="AF9" i="36" s="1"/>
  <c r="G84" i="36"/>
  <c r="AF84" i="36" s="1"/>
  <c r="G22" i="36"/>
  <c r="AF22" i="36" s="1"/>
  <c r="G15" i="36"/>
  <c r="AF15" i="36" s="1"/>
  <c r="G38" i="36"/>
  <c r="AF38" i="36" s="1"/>
  <c r="G51" i="38"/>
  <c r="AF51" i="38" s="1"/>
  <c r="G15" i="38"/>
  <c r="AF15" i="38" s="1"/>
  <c r="G112" i="42"/>
  <c r="G18" i="40" s="1"/>
  <c r="G19" i="40" s="1"/>
  <c r="F18" i="40"/>
  <c r="F19" i="40" s="1"/>
  <c r="G61" i="37"/>
  <c r="AF61" i="37" s="1"/>
  <c r="G74" i="37"/>
  <c r="AF74" i="37" s="1"/>
  <c r="G30" i="37"/>
  <c r="AF30" i="37" s="1"/>
  <c r="G34" i="37"/>
  <c r="AF34" i="37" s="1"/>
  <c r="G55" i="37"/>
  <c r="AF55" i="37" s="1"/>
  <c r="G48" i="36"/>
  <c r="AF48" i="36" s="1"/>
  <c r="G31" i="36"/>
  <c r="AF31" i="36" s="1"/>
  <c r="G7" i="36"/>
  <c r="AF7" i="36" s="1"/>
  <c r="G12" i="36"/>
  <c r="AF12" i="36" s="1"/>
  <c r="G69" i="36"/>
  <c r="AF69" i="36" s="1"/>
  <c r="G82" i="38"/>
  <c r="AF82" i="38" s="1"/>
  <c r="G37" i="38"/>
  <c r="AF37" i="38" s="1"/>
  <c r="G51" i="36"/>
  <c r="AF51" i="36" s="1"/>
  <c r="G41" i="36"/>
  <c r="AF41" i="36" s="1"/>
  <c r="G29" i="38"/>
  <c r="AF29" i="38" s="1"/>
  <c r="G5" i="38"/>
  <c r="AF5" i="38" s="1"/>
  <c r="G84" i="38"/>
  <c r="AF84" i="38" s="1"/>
  <c r="G67" i="38"/>
  <c r="AF67" i="38" s="1"/>
  <c r="G26" i="38"/>
  <c r="AF26" i="38" s="1"/>
  <c r="G81" i="38"/>
  <c r="AF81" i="38" s="1"/>
  <c r="G50" i="37"/>
  <c r="AF50" i="37" s="1"/>
  <c r="G33" i="37"/>
  <c r="AF33" i="37" s="1"/>
  <c r="G20" i="37"/>
  <c r="AF20" i="37" s="1"/>
  <c r="G27" i="37"/>
  <c r="AF27" i="37" s="1"/>
  <c r="G73" i="37"/>
  <c r="AF73" i="37" s="1"/>
  <c r="G30" i="38"/>
  <c r="AF30" i="38" s="1"/>
  <c r="G36" i="38"/>
  <c r="AF36" i="38" s="1"/>
  <c r="G8" i="38"/>
  <c r="AF8" i="38" s="1"/>
  <c r="G58" i="38"/>
  <c r="AF58" i="38" s="1"/>
  <c r="G77" i="38"/>
  <c r="AF77" i="38" s="1"/>
  <c r="G78" i="38"/>
  <c r="AF78" i="38" s="1"/>
  <c r="G45" i="38"/>
  <c r="AF45" i="38" s="1"/>
  <c r="G60" i="38"/>
  <c r="AF60" i="38" s="1"/>
  <c r="G7" i="38"/>
  <c r="AF7" i="38" s="1"/>
  <c r="G55" i="38"/>
  <c r="AF55" i="38" s="1"/>
  <c r="G11" i="37"/>
  <c r="AF11" i="37" s="1"/>
  <c r="G64" i="37"/>
  <c r="AF64" i="37" s="1"/>
  <c r="G62" i="37"/>
  <c r="AF62" i="37" s="1"/>
  <c r="G70" i="37"/>
  <c r="AF70" i="37" s="1"/>
  <c r="G23" i="37"/>
  <c r="AF23" i="37" s="1"/>
  <c r="G82" i="36"/>
  <c r="AF82" i="36" s="1"/>
  <c r="AC68" i="31"/>
  <c r="H57" i="26"/>
  <c r="AG57" i="26" s="1"/>
  <c r="H10" i="26"/>
  <c r="AG10" i="26" s="1"/>
  <c r="H39" i="26"/>
  <c r="AG39" i="26" s="1"/>
  <c r="H33" i="26"/>
  <c r="AG33" i="26" s="1"/>
  <c r="H80" i="26"/>
  <c r="AG80" i="26" s="1"/>
  <c r="H22" i="26"/>
  <c r="AG22" i="26" s="1"/>
  <c r="H69" i="26"/>
  <c r="AG69" i="26" s="1"/>
  <c r="H67" i="26"/>
  <c r="AG67" i="26" s="1"/>
  <c r="H30" i="26"/>
  <c r="AG30" i="26" s="1"/>
  <c r="H70" i="26"/>
  <c r="AG70" i="26" s="1"/>
  <c r="H78" i="26"/>
  <c r="AG78" i="26" s="1"/>
  <c r="H42" i="26"/>
  <c r="AG42" i="26" s="1"/>
  <c r="H83" i="26"/>
  <c r="AG83" i="26" s="1"/>
  <c r="H48" i="26"/>
  <c r="AG48" i="26" s="1"/>
  <c r="H17" i="26"/>
  <c r="AG17" i="26" s="1"/>
  <c r="H74" i="26"/>
  <c r="AG74" i="26" s="1"/>
  <c r="H53" i="26"/>
  <c r="AG53" i="26" s="1"/>
  <c r="H51" i="26"/>
  <c r="AG51" i="26" s="1"/>
  <c r="H11" i="26"/>
  <c r="AG11" i="26" s="1"/>
  <c r="H58" i="26"/>
  <c r="AG58" i="26" s="1"/>
  <c r="H41" i="26"/>
  <c r="AG41" i="26" s="1"/>
  <c r="H28" i="26"/>
  <c r="AG28" i="26" s="1"/>
  <c r="H66" i="26"/>
  <c r="AG66" i="26" s="1"/>
  <c r="H68" i="26"/>
  <c r="AG68" i="26" s="1"/>
  <c r="H31" i="26"/>
  <c r="AG31" i="26" s="1"/>
  <c r="H52" i="26"/>
  <c r="AG52" i="26" s="1"/>
  <c r="H32" i="26"/>
  <c r="AG32" i="26" s="1"/>
  <c r="H79" i="26"/>
  <c r="AG79" i="26" s="1"/>
  <c r="H47" i="26"/>
  <c r="AG47" i="26" s="1"/>
  <c r="H73" i="26"/>
  <c r="AG73" i="26" s="1"/>
  <c r="H82" i="26"/>
  <c r="AG82" i="26" s="1"/>
  <c r="H37" i="26"/>
  <c r="AG37" i="26" s="1"/>
  <c r="H18" i="26"/>
  <c r="AG18" i="26" s="1"/>
  <c r="H45" i="26"/>
  <c r="AG45" i="26" s="1"/>
  <c r="H7" i="26"/>
  <c r="AG7" i="26" s="1"/>
  <c r="H60" i="26"/>
  <c r="AG60" i="26" s="1"/>
  <c r="H9" i="26"/>
  <c r="AG9" i="26" s="1"/>
  <c r="H15" i="26"/>
  <c r="AG15" i="26" s="1"/>
  <c r="H40" i="26"/>
  <c r="AG40" i="26" s="1"/>
  <c r="H84" i="26"/>
  <c r="AG84" i="26" s="1"/>
  <c r="H64" i="26"/>
  <c r="AG64" i="26" s="1"/>
  <c r="H24" i="26"/>
  <c r="AG24" i="26" s="1"/>
  <c r="H26" i="26"/>
  <c r="AG26" i="26" s="1"/>
  <c r="H55" i="26"/>
  <c r="AG55" i="26" s="1"/>
  <c r="H16" i="26"/>
  <c r="AG16" i="26" s="1"/>
  <c r="H61" i="26"/>
  <c r="AG61" i="26" s="1"/>
  <c r="H6" i="26"/>
  <c r="AG6" i="26" s="1"/>
  <c r="H63" i="26"/>
  <c r="AG63" i="26" s="1"/>
  <c r="H44" i="26"/>
  <c r="AG44" i="26" s="1"/>
  <c r="H14" i="26"/>
  <c r="AG14" i="26" s="1"/>
  <c r="H12" i="26"/>
  <c r="AG12" i="26" s="1"/>
  <c r="H56" i="26"/>
  <c r="AG56" i="26" s="1"/>
  <c r="H23" i="26"/>
  <c r="AG23" i="26" s="1"/>
  <c r="H71" i="26"/>
  <c r="AG71" i="26" s="1"/>
  <c r="H34" i="26"/>
  <c r="AG34" i="26" s="1"/>
  <c r="H77" i="26"/>
  <c r="AG77" i="26" s="1"/>
  <c r="H72" i="26"/>
  <c r="AG72" i="26" s="1"/>
  <c r="H50" i="26"/>
  <c r="AG50" i="26" s="1"/>
  <c r="H29" i="26"/>
  <c r="AG29" i="26" s="1"/>
  <c r="H76" i="26"/>
  <c r="AG76" i="26" s="1"/>
  <c r="H81" i="26"/>
  <c r="AG81" i="26" s="1"/>
  <c r="H21" i="26"/>
  <c r="AG21" i="26" s="1"/>
  <c r="H75" i="26"/>
  <c r="AG75" i="26" s="1"/>
  <c r="H5" i="26"/>
  <c r="AG5" i="26" s="1"/>
  <c r="H49" i="26"/>
  <c r="AG49" i="26" s="1"/>
  <c r="H59" i="26"/>
  <c r="AG59" i="26" s="1"/>
  <c r="H38" i="26"/>
  <c r="AG38" i="26" s="1"/>
  <c r="H13" i="26"/>
  <c r="AG13" i="26" s="1"/>
  <c r="H43" i="26"/>
  <c r="AG43" i="26" s="1"/>
  <c r="H25" i="26"/>
  <c r="AG25" i="26" s="1"/>
  <c r="H36" i="26"/>
  <c r="AG36" i="26" s="1"/>
  <c r="H46" i="26"/>
  <c r="AG46" i="26" s="1"/>
  <c r="H19" i="26"/>
  <c r="AG19" i="26" s="1"/>
  <c r="H62" i="26"/>
  <c r="AG62" i="26" s="1"/>
  <c r="H8" i="26"/>
  <c r="AG8" i="26" s="1"/>
  <c r="H20" i="26"/>
  <c r="AG20" i="26" s="1"/>
  <c r="H35" i="26"/>
  <c r="AG35" i="26" s="1"/>
  <c r="H54" i="26"/>
  <c r="AG54" i="26" s="1"/>
  <c r="H65" i="26"/>
  <c r="AG65" i="26" s="1"/>
  <c r="H4" i="26"/>
  <c r="AG4" i="26" s="1"/>
  <c r="H27" i="26"/>
  <c r="AG27" i="26" s="1"/>
  <c r="E52" i="17"/>
  <c r="F52" i="17"/>
  <c r="D13" i="17"/>
  <c r="C13" i="17"/>
  <c r="G13" i="17"/>
  <c r="G113" i="42" l="1"/>
  <c r="G47" i="40" s="1"/>
  <c r="G48" i="40" s="1"/>
  <c r="F47" i="40"/>
  <c r="F48" i="40" s="1"/>
  <c r="G113" i="41"/>
  <c r="G47" i="39" s="1"/>
  <c r="G48" i="39" s="1"/>
  <c r="F47" i="39"/>
  <c r="F48" i="39" s="1"/>
  <c r="G113" i="33"/>
  <c r="G47" i="34" s="1"/>
  <c r="G48" i="34" s="1"/>
  <c r="F47" i="34"/>
  <c r="F48" i="34" s="1"/>
  <c r="E36" i="34"/>
  <c r="E37" i="34" s="1"/>
  <c r="E36" i="39"/>
  <c r="E37" i="39" s="1"/>
  <c r="H70" i="37"/>
  <c r="AG70" i="37" s="1"/>
  <c r="H55" i="38"/>
  <c r="AG55" i="38" s="1"/>
  <c r="H78" i="38"/>
  <c r="AG78" i="38" s="1"/>
  <c r="H36" i="38"/>
  <c r="AG36" i="38" s="1"/>
  <c r="H20" i="37"/>
  <c r="AG20" i="37" s="1"/>
  <c r="H26" i="38"/>
  <c r="AG26" i="38" s="1"/>
  <c r="H29" i="38"/>
  <c r="AG29" i="38" s="1"/>
  <c r="H51" i="36"/>
  <c r="AG51" i="36" s="1"/>
  <c r="H12" i="36"/>
  <c r="AG12" i="36" s="1"/>
  <c r="H30" i="37"/>
  <c r="AG30" i="37" s="1"/>
  <c r="H15" i="38"/>
  <c r="AG15" i="38" s="1"/>
  <c r="H22" i="36"/>
  <c r="AG22" i="36" s="1"/>
  <c r="H34" i="36"/>
  <c r="AG34" i="36" s="1"/>
  <c r="H54" i="36"/>
  <c r="AG54" i="36" s="1"/>
  <c r="H36" i="37"/>
  <c r="AG36" i="37" s="1"/>
  <c r="H48" i="37"/>
  <c r="AG48" i="37" s="1"/>
  <c r="H50" i="38"/>
  <c r="AG50" i="38" s="1"/>
  <c r="H49" i="38"/>
  <c r="AG49" i="38" s="1"/>
  <c r="H39" i="37"/>
  <c r="AG39" i="37" s="1"/>
  <c r="H4" i="38"/>
  <c r="AG4" i="38" s="1"/>
  <c r="H70" i="38"/>
  <c r="AG70" i="38" s="1"/>
  <c r="H9" i="37"/>
  <c r="AG9" i="37" s="1"/>
  <c r="H17" i="36"/>
  <c r="AG17" i="36" s="1"/>
  <c r="H38" i="37"/>
  <c r="AG38" i="37" s="1"/>
  <c r="H71" i="37"/>
  <c r="AG71" i="37" s="1"/>
  <c r="H35" i="36"/>
  <c r="AG35" i="36" s="1"/>
  <c r="H43" i="36"/>
  <c r="AG43" i="36" s="1"/>
  <c r="H80" i="36"/>
  <c r="AG80" i="36" s="1"/>
  <c r="H22" i="37"/>
  <c r="AG22" i="37" s="1"/>
  <c r="H69" i="37"/>
  <c r="AG69" i="37" s="1"/>
  <c r="H34" i="38"/>
  <c r="AG34" i="38" s="1"/>
  <c r="H52" i="38"/>
  <c r="AG52" i="38" s="1"/>
  <c r="H31" i="38"/>
  <c r="AG31" i="38" s="1"/>
  <c r="H7" i="37"/>
  <c r="AG7" i="37" s="1"/>
  <c r="H80" i="38"/>
  <c r="AG80" i="38" s="1"/>
  <c r="H76" i="38"/>
  <c r="AG76" i="38" s="1"/>
  <c r="H59" i="38"/>
  <c r="AG59" i="38" s="1"/>
  <c r="H58" i="36"/>
  <c r="AG58" i="36" s="1"/>
  <c r="H14" i="37"/>
  <c r="AG14" i="37" s="1"/>
  <c r="H22" i="38"/>
  <c r="AG22" i="38" s="1"/>
  <c r="H66" i="36"/>
  <c r="AG66" i="36" s="1"/>
  <c r="H76" i="36"/>
  <c r="AG76" i="36" s="1"/>
  <c r="H10" i="37"/>
  <c r="AG10" i="37" s="1"/>
  <c r="H63" i="37"/>
  <c r="AG63" i="37" s="1"/>
  <c r="H68" i="36"/>
  <c r="AG68" i="36" s="1"/>
  <c r="H18" i="37"/>
  <c r="AG18" i="37" s="1"/>
  <c r="H35" i="38"/>
  <c r="AG35" i="38" s="1"/>
  <c r="H57" i="38"/>
  <c r="AG57" i="38" s="1"/>
  <c r="H46" i="37"/>
  <c r="AG46" i="37" s="1"/>
  <c r="H43" i="38"/>
  <c r="AG43" i="38" s="1"/>
  <c r="H10" i="38"/>
  <c r="AG10" i="38" s="1"/>
  <c r="H5" i="36"/>
  <c r="AG5" i="36" s="1"/>
  <c r="H11" i="36"/>
  <c r="AG11" i="36" s="1"/>
  <c r="H8" i="37"/>
  <c r="AG8" i="37" s="1"/>
  <c r="H21" i="38"/>
  <c r="AG21" i="38" s="1"/>
  <c r="H78" i="36"/>
  <c r="AG78" i="36" s="1"/>
  <c r="H57" i="36"/>
  <c r="AG57" i="36" s="1"/>
  <c r="H50" i="36"/>
  <c r="AG50" i="36" s="1"/>
  <c r="H52" i="37"/>
  <c r="AG52" i="37" s="1"/>
  <c r="H82" i="36"/>
  <c r="AG82" i="36" s="1"/>
  <c r="H64" i="37"/>
  <c r="AG64" i="37" s="1"/>
  <c r="H60" i="38"/>
  <c r="AG60" i="38" s="1"/>
  <c r="H58" i="38"/>
  <c r="AG58" i="38" s="1"/>
  <c r="H73" i="37"/>
  <c r="AG73" i="37" s="1"/>
  <c r="H50" i="37"/>
  <c r="AG50" i="37" s="1"/>
  <c r="H84" i="38"/>
  <c r="AG84" i="38" s="1"/>
  <c r="H82" i="38"/>
  <c r="AG82" i="38" s="1"/>
  <c r="H31" i="36"/>
  <c r="AG31" i="36" s="1"/>
  <c r="H55" i="37"/>
  <c r="AG55" i="37" s="1"/>
  <c r="H61" i="37"/>
  <c r="AG61" i="37" s="1"/>
  <c r="H38" i="36"/>
  <c r="AG38" i="36" s="1"/>
  <c r="H9" i="36"/>
  <c r="AG9" i="36" s="1"/>
  <c r="H49" i="36"/>
  <c r="AG49" i="36" s="1"/>
  <c r="H32" i="37"/>
  <c r="AG32" i="37" s="1"/>
  <c r="H54" i="37"/>
  <c r="AG54" i="37" s="1"/>
  <c r="H16" i="37"/>
  <c r="AG16" i="37" s="1"/>
  <c r="H75" i="36"/>
  <c r="AG75" i="36" s="1"/>
  <c r="H68" i="37"/>
  <c r="AG68" i="37" s="1"/>
  <c r="H75" i="38"/>
  <c r="AG75" i="38" s="1"/>
  <c r="H61" i="38"/>
  <c r="AG61" i="38" s="1"/>
  <c r="H13" i="38"/>
  <c r="AG13" i="38" s="1"/>
  <c r="H25" i="37"/>
  <c r="AG25" i="37" s="1"/>
  <c r="H48" i="38"/>
  <c r="AG48" i="38" s="1"/>
  <c r="H60" i="36"/>
  <c r="AG60" i="36" s="1"/>
  <c r="H46" i="38"/>
  <c r="AG46" i="38" s="1"/>
  <c r="H16" i="36"/>
  <c r="AG16" i="36" s="1"/>
  <c r="H53" i="37"/>
  <c r="AG53" i="37" s="1"/>
  <c r="H20" i="36"/>
  <c r="AG20" i="36" s="1"/>
  <c r="H70" i="36"/>
  <c r="AG70" i="36" s="1"/>
  <c r="H55" i="36"/>
  <c r="AG55" i="36" s="1"/>
  <c r="H56" i="37"/>
  <c r="AG56" i="37" s="1"/>
  <c r="H40" i="36"/>
  <c r="AG40" i="36" s="1"/>
  <c r="H43" i="37"/>
  <c r="AG43" i="37" s="1"/>
  <c r="H16" i="38"/>
  <c r="AG16" i="38" s="1"/>
  <c r="H25" i="38"/>
  <c r="AG25" i="38" s="1"/>
  <c r="H21" i="37"/>
  <c r="AG21" i="37" s="1"/>
  <c r="H19" i="37"/>
  <c r="AG19" i="37" s="1"/>
  <c r="H53" i="38"/>
  <c r="AG53" i="38" s="1"/>
  <c r="H61" i="36"/>
  <c r="AG61" i="36" s="1"/>
  <c r="H19" i="36"/>
  <c r="AG19" i="36" s="1"/>
  <c r="H62" i="36"/>
  <c r="AG62" i="36" s="1"/>
  <c r="H12" i="37"/>
  <c r="AG12" i="37" s="1"/>
  <c r="H81" i="36"/>
  <c r="AG81" i="36" s="1"/>
  <c r="H8" i="36"/>
  <c r="AG8" i="36" s="1"/>
  <c r="H79" i="36"/>
  <c r="AG79" i="36" s="1"/>
  <c r="H41" i="37"/>
  <c r="AG41" i="37" s="1"/>
  <c r="H21" i="36"/>
  <c r="AG21" i="36" s="1"/>
  <c r="H42" i="37"/>
  <c r="AG42" i="37" s="1"/>
  <c r="H65" i="37"/>
  <c r="AG65" i="37" s="1"/>
  <c r="H17" i="38"/>
  <c r="AG17" i="38" s="1"/>
  <c r="H83" i="38"/>
  <c r="AG83" i="38" s="1"/>
  <c r="H24" i="38"/>
  <c r="AG24" i="38" s="1"/>
  <c r="H44" i="37"/>
  <c r="AG44" i="37" s="1"/>
  <c r="H19" i="38"/>
  <c r="AG19" i="38" s="1"/>
  <c r="H63" i="38"/>
  <c r="AG63" i="38" s="1"/>
  <c r="H13" i="36"/>
  <c r="AG13" i="36" s="1"/>
  <c r="H78" i="37"/>
  <c r="AG78" i="37" s="1"/>
  <c r="H64" i="36"/>
  <c r="AG64" i="36" s="1"/>
  <c r="H4" i="36"/>
  <c r="AG4" i="36" s="1"/>
  <c r="H5" i="37"/>
  <c r="AG5" i="37" s="1"/>
  <c r="H67" i="37"/>
  <c r="AG67" i="37" s="1"/>
  <c r="H23" i="37"/>
  <c r="AG23" i="37" s="1"/>
  <c r="H62" i="37"/>
  <c r="AG62" i="37" s="1"/>
  <c r="H11" i="37"/>
  <c r="AG11" i="37" s="1"/>
  <c r="H7" i="38"/>
  <c r="AG7" i="38" s="1"/>
  <c r="H45" i="38"/>
  <c r="AG45" i="38" s="1"/>
  <c r="H77" i="38"/>
  <c r="AG77" i="38" s="1"/>
  <c r="H8" i="38"/>
  <c r="AG8" i="38" s="1"/>
  <c r="H30" i="38"/>
  <c r="AG30" i="38" s="1"/>
  <c r="H27" i="37"/>
  <c r="AG27" i="37" s="1"/>
  <c r="H33" i="37"/>
  <c r="AG33" i="37" s="1"/>
  <c r="H81" i="38"/>
  <c r="AG81" i="38" s="1"/>
  <c r="H67" i="38"/>
  <c r="AG67" i="38" s="1"/>
  <c r="H5" i="38"/>
  <c r="AG5" i="38" s="1"/>
  <c r="H41" i="36"/>
  <c r="AG41" i="36" s="1"/>
  <c r="H37" i="38"/>
  <c r="AG37" i="38" s="1"/>
  <c r="H69" i="36"/>
  <c r="AG69" i="36" s="1"/>
  <c r="H7" i="36"/>
  <c r="AG7" i="36" s="1"/>
  <c r="H48" i="36"/>
  <c r="AG48" i="36" s="1"/>
  <c r="H34" i="37"/>
  <c r="AG34" i="37" s="1"/>
  <c r="H74" i="37"/>
  <c r="AG74" i="37" s="1"/>
  <c r="H51" i="38"/>
  <c r="AG51" i="38" s="1"/>
  <c r="H15" i="36"/>
  <c r="AG15" i="36" s="1"/>
  <c r="H84" i="36"/>
  <c r="AG84" i="36" s="1"/>
  <c r="H73" i="36"/>
  <c r="AG73" i="36" s="1"/>
  <c r="H23" i="36"/>
  <c r="AG23" i="36" s="1"/>
  <c r="H45" i="36"/>
  <c r="AG45" i="36" s="1"/>
  <c r="H13" i="37"/>
  <c r="AG13" i="37" s="1"/>
  <c r="H79" i="37"/>
  <c r="AG79" i="37" s="1"/>
  <c r="H67" i="36"/>
  <c r="AG67" i="36" s="1"/>
  <c r="H83" i="36"/>
  <c r="AG83" i="36" s="1"/>
  <c r="H25" i="36"/>
  <c r="AG25" i="36" s="1"/>
  <c r="H76" i="37"/>
  <c r="AG76" i="37" s="1"/>
  <c r="H37" i="37"/>
  <c r="AG37" i="37" s="1"/>
  <c r="H42" i="38"/>
  <c r="AG42" i="38" s="1"/>
  <c r="H33" i="38"/>
  <c r="AG33" i="38" s="1"/>
  <c r="H12" i="38"/>
  <c r="AG12" i="38" s="1"/>
  <c r="H6" i="38"/>
  <c r="AG6" i="38" s="1"/>
  <c r="H32" i="38"/>
  <c r="AG32" i="38" s="1"/>
  <c r="H66" i="37"/>
  <c r="AG66" i="37" s="1"/>
  <c r="H29" i="37"/>
  <c r="AG29" i="37" s="1"/>
  <c r="H31" i="37"/>
  <c r="AG31" i="37" s="1"/>
  <c r="H41" i="38"/>
  <c r="AG41" i="38" s="1"/>
  <c r="H23" i="38"/>
  <c r="AG23" i="38" s="1"/>
  <c r="H11" i="38"/>
  <c r="AG11" i="38" s="1"/>
  <c r="H42" i="36"/>
  <c r="AG42" i="36" s="1"/>
  <c r="H40" i="38"/>
  <c r="AG40" i="38" s="1"/>
  <c r="H77" i="36"/>
  <c r="AG77" i="36" s="1"/>
  <c r="H63" i="36"/>
  <c r="AG63" i="36" s="1"/>
  <c r="H74" i="36"/>
  <c r="AG74" i="36" s="1"/>
  <c r="H15" i="37"/>
  <c r="AG15" i="37" s="1"/>
  <c r="H80" i="37"/>
  <c r="AG80" i="37" s="1"/>
  <c r="H47" i="38"/>
  <c r="AG47" i="38" s="1"/>
  <c r="H52" i="36"/>
  <c r="AG52" i="36" s="1"/>
  <c r="H33" i="36"/>
  <c r="AG33" i="36" s="1"/>
  <c r="H14" i="36"/>
  <c r="AG14" i="36" s="1"/>
  <c r="H36" i="36"/>
  <c r="AG36" i="36" s="1"/>
  <c r="H26" i="36"/>
  <c r="AG26" i="36" s="1"/>
  <c r="H4" i="37"/>
  <c r="AG4" i="37" s="1"/>
  <c r="H47" i="37"/>
  <c r="AG47" i="37" s="1"/>
  <c r="H81" i="37"/>
  <c r="AG81" i="37" s="1"/>
  <c r="H77" i="37"/>
  <c r="AG77" i="37" s="1"/>
  <c r="H75" i="37"/>
  <c r="AG75" i="37" s="1"/>
  <c r="H38" i="38"/>
  <c r="AG38" i="38" s="1"/>
  <c r="H66" i="38"/>
  <c r="AG66" i="38" s="1"/>
  <c r="H72" i="38"/>
  <c r="AG72" i="38" s="1"/>
  <c r="H71" i="38"/>
  <c r="AG71" i="38" s="1"/>
  <c r="H73" i="38"/>
  <c r="AG73" i="38" s="1"/>
  <c r="H69" i="38"/>
  <c r="AG69" i="38" s="1"/>
  <c r="H17" i="37"/>
  <c r="AG17" i="37" s="1"/>
  <c r="H26" i="37"/>
  <c r="AG26" i="37" s="1"/>
  <c r="H18" i="38"/>
  <c r="AG18" i="38" s="1"/>
  <c r="H20" i="38"/>
  <c r="AG20" i="38" s="1"/>
  <c r="H65" i="38"/>
  <c r="AG65" i="38" s="1"/>
  <c r="H53" i="36"/>
  <c r="AG53" i="36" s="1"/>
  <c r="H60" i="37"/>
  <c r="AG60" i="37" s="1"/>
  <c r="H27" i="38"/>
  <c r="AG27" i="38" s="1"/>
  <c r="H72" i="36"/>
  <c r="AG72" i="36" s="1"/>
  <c r="H30" i="36"/>
  <c r="AG30" i="36" s="1"/>
  <c r="H51" i="37"/>
  <c r="AG51" i="37" s="1"/>
  <c r="H6" i="37"/>
  <c r="AG6" i="37" s="1"/>
  <c r="H57" i="37"/>
  <c r="AG57" i="37" s="1"/>
  <c r="H14" i="38"/>
  <c r="AG14" i="38" s="1"/>
  <c r="H29" i="36"/>
  <c r="AG29" i="36" s="1"/>
  <c r="H18" i="36"/>
  <c r="AG18" i="36" s="1"/>
  <c r="H44" i="36"/>
  <c r="AG44" i="36" s="1"/>
  <c r="H71" i="36"/>
  <c r="AG71" i="36" s="1"/>
  <c r="H6" i="36"/>
  <c r="AG6" i="36" s="1"/>
  <c r="H49" i="37"/>
  <c r="AG49" i="37" s="1"/>
  <c r="H84" i="37"/>
  <c r="AG84" i="37" s="1"/>
  <c r="H27" i="36"/>
  <c r="AG27" i="36" s="1"/>
  <c r="H37" i="36"/>
  <c r="AG37" i="36" s="1"/>
  <c r="H47" i="36"/>
  <c r="AG47" i="36" s="1"/>
  <c r="H24" i="37"/>
  <c r="AG24" i="37" s="1"/>
  <c r="H83" i="37"/>
  <c r="AG83" i="37" s="1"/>
  <c r="H62" i="38"/>
  <c r="AG62" i="38" s="1"/>
  <c r="H64" i="38"/>
  <c r="AG64" i="38" s="1"/>
  <c r="H44" i="38"/>
  <c r="AG44" i="38" s="1"/>
  <c r="H54" i="38"/>
  <c r="AG54" i="38" s="1"/>
  <c r="H28" i="38"/>
  <c r="AG28" i="38" s="1"/>
  <c r="H72" i="37"/>
  <c r="AG72" i="37" s="1"/>
  <c r="H40" i="37"/>
  <c r="AG40" i="37" s="1"/>
  <c r="H59" i="37"/>
  <c r="AG59" i="37" s="1"/>
  <c r="H79" i="38"/>
  <c r="AG79" i="38" s="1"/>
  <c r="H56" i="38"/>
  <c r="AG56" i="38" s="1"/>
  <c r="H39" i="38"/>
  <c r="AG39" i="38" s="1"/>
  <c r="H65" i="36"/>
  <c r="AG65" i="36" s="1"/>
  <c r="H9" i="38"/>
  <c r="AG9" i="38" s="1"/>
  <c r="H46" i="36"/>
  <c r="AG46" i="36" s="1"/>
  <c r="H56" i="36"/>
  <c r="AG56" i="36" s="1"/>
  <c r="H59" i="36"/>
  <c r="AG59" i="36" s="1"/>
  <c r="H45" i="37"/>
  <c r="AG45" i="37" s="1"/>
  <c r="H82" i="37"/>
  <c r="AG82" i="37" s="1"/>
  <c r="H35" i="37"/>
  <c r="AG35" i="37" s="1"/>
  <c r="H74" i="38"/>
  <c r="AG74" i="38" s="1"/>
  <c r="H24" i="36"/>
  <c r="AG24" i="36" s="1"/>
  <c r="H32" i="36"/>
  <c r="AG32" i="36" s="1"/>
  <c r="H10" i="36"/>
  <c r="AG10" i="36" s="1"/>
  <c r="H39" i="36"/>
  <c r="AG39" i="36" s="1"/>
  <c r="H28" i="36"/>
  <c r="AG28" i="36" s="1"/>
  <c r="H58" i="37"/>
  <c r="AG58" i="37" s="1"/>
  <c r="H28" i="37"/>
  <c r="AG28" i="37" s="1"/>
  <c r="H68" i="38"/>
  <c r="AG68" i="38" s="1"/>
  <c r="AC36" i="30"/>
  <c r="AC28" i="30"/>
  <c r="AC6" i="32"/>
  <c r="AC14" i="32"/>
  <c r="AC20" i="31"/>
  <c r="AC44" i="30"/>
  <c r="AC47" i="32"/>
  <c r="AC63" i="32"/>
  <c r="AC75" i="32"/>
  <c r="AC83" i="32"/>
  <c r="AC6" i="31"/>
  <c r="AC37" i="31"/>
  <c r="AC25" i="32"/>
  <c r="AC10" i="31"/>
  <c r="AC54" i="31"/>
  <c r="AC66" i="31"/>
  <c r="AC74" i="31"/>
  <c r="AC82" i="31"/>
  <c r="AC36" i="32"/>
  <c r="AC4" i="32"/>
  <c r="AC16" i="32"/>
  <c r="AC41" i="32"/>
  <c r="AC53" i="32"/>
  <c r="AC42" i="30"/>
  <c r="AC6" i="30"/>
  <c r="AC22" i="30"/>
  <c r="AC32" i="30"/>
  <c r="AC43" i="30"/>
  <c r="AC12" i="31"/>
  <c r="AC18" i="32"/>
  <c r="AC33" i="32"/>
  <c r="AC26" i="30"/>
  <c r="AC5" i="30"/>
  <c r="AC16" i="30"/>
  <c r="AC35" i="30"/>
  <c r="AC53" i="30"/>
  <c r="AC39" i="31"/>
  <c r="AC7" i="30"/>
  <c r="AC29" i="30"/>
  <c r="AC45" i="30"/>
  <c r="AC26" i="31"/>
  <c r="AC44" i="32"/>
  <c r="AC48" i="32"/>
  <c r="AC60" i="32"/>
  <c r="AC64" i="32"/>
  <c r="AC68" i="32"/>
  <c r="AC72" i="32"/>
  <c r="AC76" i="32"/>
  <c r="AC80" i="32"/>
  <c r="AC84" i="32"/>
  <c r="AC64" i="30"/>
  <c r="AC80" i="30"/>
  <c r="AC7" i="31"/>
  <c r="AC18" i="31"/>
  <c r="AC25" i="31"/>
  <c r="AC34" i="31"/>
  <c r="AC38" i="31"/>
  <c r="AC17" i="32"/>
  <c r="AC26" i="32"/>
  <c r="AC62" i="30"/>
  <c r="AC78" i="30"/>
  <c r="AC14" i="31"/>
  <c r="AC31" i="31"/>
  <c r="AC43" i="31"/>
  <c r="AC47" i="31"/>
  <c r="AC51" i="31"/>
  <c r="AC55" i="31"/>
  <c r="AC59" i="31"/>
  <c r="AC63" i="31"/>
  <c r="AC67" i="31"/>
  <c r="AC71" i="31"/>
  <c r="AC75" i="31"/>
  <c r="AC79" i="31"/>
  <c r="AC83" i="31"/>
  <c r="AC22" i="32"/>
  <c r="AC30" i="32"/>
  <c r="AC37" i="32"/>
  <c r="AC69" i="30"/>
  <c r="AC5" i="31"/>
  <c r="AC8" i="32"/>
  <c r="AD8" i="32"/>
  <c r="AC38" i="32"/>
  <c r="AC42" i="32"/>
  <c r="AC54" i="32"/>
  <c r="AC58" i="32"/>
  <c r="AC18" i="30"/>
  <c r="AC75" i="30"/>
  <c r="AC21" i="30"/>
  <c r="AC30" i="30"/>
  <c r="AC63" i="30"/>
  <c r="AC71" i="30"/>
  <c r="AC59" i="32"/>
  <c r="AC71" i="32"/>
  <c r="AC76" i="30"/>
  <c r="AC24" i="31"/>
  <c r="AC12" i="32"/>
  <c r="AC74" i="30"/>
  <c r="AC42" i="31"/>
  <c r="AC50" i="31"/>
  <c r="AC62" i="31"/>
  <c r="AC78" i="31"/>
  <c r="AC29" i="32"/>
  <c r="AC65" i="30"/>
  <c r="AC57" i="32"/>
  <c r="AC24" i="30"/>
  <c r="AC79" i="30"/>
  <c r="AC8" i="30"/>
  <c r="AC23" i="30"/>
  <c r="AC33" i="30"/>
  <c r="AC48" i="30"/>
  <c r="AC13" i="31"/>
  <c r="AC19" i="32"/>
  <c r="AC11" i="30"/>
  <c r="AC47" i="30"/>
  <c r="AC10" i="30"/>
  <c r="AC20" i="30"/>
  <c r="AC41" i="30"/>
  <c r="AC67" i="30"/>
  <c r="AC27" i="30"/>
  <c r="AC9" i="30"/>
  <c r="AC34" i="30"/>
  <c r="AC49" i="30"/>
  <c r="AC27" i="31"/>
  <c r="AC45" i="32"/>
  <c r="AC49" i="32"/>
  <c r="AC61" i="32"/>
  <c r="AC65" i="32"/>
  <c r="AC69" i="32"/>
  <c r="AC73" i="32"/>
  <c r="AC77" i="32"/>
  <c r="AC81" i="32"/>
  <c r="AC52" i="30"/>
  <c r="AC68" i="30"/>
  <c r="AC84" i="30"/>
  <c r="AC8" i="31"/>
  <c r="AD8" i="31"/>
  <c r="AC19" i="31"/>
  <c r="AC30" i="31"/>
  <c r="AC35" i="31"/>
  <c r="AC10" i="32"/>
  <c r="AC23" i="32"/>
  <c r="AC31" i="32"/>
  <c r="AC66" i="30"/>
  <c r="AC82" i="30"/>
  <c r="AC15" i="31"/>
  <c r="AC40" i="31"/>
  <c r="AC44" i="31"/>
  <c r="AC48" i="31"/>
  <c r="AC52" i="31"/>
  <c r="AC56" i="31"/>
  <c r="AC60" i="31"/>
  <c r="AC64" i="31"/>
  <c r="AC72" i="31"/>
  <c r="AC76" i="31"/>
  <c r="AC80" i="31"/>
  <c r="AC84" i="31"/>
  <c r="AC27" i="32"/>
  <c r="AC34" i="32"/>
  <c r="AC57" i="30"/>
  <c r="AC73" i="30"/>
  <c r="AC16" i="31"/>
  <c r="AC9" i="32"/>
  <c r="AC39" i="32"/>
  <c r="AC51" i="32"/>
  <c r="AC55" i="32"/>
  <c r="AC4" i="30"/>
  <c r="AC39" i="30"/>
  <c r="AC32" i="32"/>
  <c r="AC15" i="30"/>
  <c r="AC50" i="30"/>
  <c r="AC19" i="30"/>
  <c r="AC43" i="32"/>
  <c r="AC67" i="32"/>
  <c r="AC79" i="32"/>
  <c r="AC60" i="30"/>
  <c r="AC17" i="31"/>
  <c r="AC33" i="31"/>
  <c r="AC58" i="30"/>
  <c r="AC22" i="31"/>
  <c r="AC46" i="31"/>
  <c r="AC58" i="31"/>
  <c r="AC70" i="31"/>
  <c r="AC21" i="32"/>
  <c r="AC81" i="30"/>
  <c r="AC31" i="30"/>
  <c r="AC13" i="32"/>
  <c r="AC12" i="30"/>
  <c r="AC37" i="30"/>
  <c r="AC59" i="30"/>
  <c r="AC5" i="32"/>
  <c r="AC20" i="32"/>
  <c r="AC17" i="30"/>
  <c r="AC51" i="30"/>
  <c r="AC14" i="30"/>
  <c r="AC25" i="30"/>
  <c r="AC46" i="30"/>
  <c r="AC83" i="30"/>
  <c r="AC38" i="30"/>
  <c r="AC13" i="30"/>
  <c r="AC40" i="30"/>
  <c r="AC55" i="30"/>
  <c r="AC28" i="31"/>
  <c r="AC46" i="32"/>
  <c r="AC50" i="32"/>
  <c r="AC62" i="32"/>
  <c r="AC66" i="32"/>
  <c r="AC70" i="32"/>
  <c r="AC74" i="32"/>
  <c r="AC78" i="32"/>
  <c r="AC82" i="32"/>
  <c r="AC56" i="30"/>
  <c r="AC72" i="30"/>
  <c r="AC4" i="31"/>
  <c r="AC11" i="31"/>
  <c r="AC23" i="31"/>
  <c r="AC32" i="31"/>
  <c r="AC36" i="31"/>
  <c r="AC11" i="32"/>
  <c r="AC24" i="32"/>
  <c r="AC54" i="30"/>
  <c r="AC70" i="30"/>
  <c r="AC9" i="31"/>
  <c r="AC21" i="31"/>
  <c r="AC41" i="31"/>
  <c r="AC45" i="31"/>
  <c r="AC49" i="31"/>
  <c r="AC53" i="31"/>
  <c r="AC57" i="31"/>
  <c r="AC61" i="31"/>
  <c r="AC65" i="31"/>
  <c r="AC69" i="31"/>
  <c r="AC73" i="31"/>
  <c r="AC77" i="31"/>
  <c r="AC81" i="31"/>
  <c r="AC7" i="32"/>
  <c r="AC28" i="32"/>
  <c r="AC35" i="32"/>
  <c r="AC61" i="30"/>
  <c r="AC77" i="30"/>
  <c r="AC29" i="31"/>
  <c r="AC15" i="32"/>
  <c r="AC40" i="32"/>
  <c r="AC52" i="32"/>
  <c r="AC56" i="32"/>
  <c r="G36" i="17"/>
  <c r="G37" i="17" s="1"/>
  <c r="F36" i="17"/>
  <c r="F37" i="17" s="1"/>
  <c r="G36" i="39" l="1"/>
  <c r="G37" i="39" s="1"/>
  <c r="F36" i="39"/>
  <c r="F37" i="39" s="1"/>
  <c r="F36" i="40"/>
  <c r="F37" i="40" s="1"/>
  <c r="F36" i="34"/>
  <c r="F37" i="34" s="1"/>
  <c r="G36" i="40"/>
  <c r="G37" i="40" s="1"/>
  <c r="G36" i="34"/>
  <c r="G37" i="34" s="1"/>
  <c r="C20" i="40"/>
  <c r="C21" i="40" s="1"/>
  <c r="C22" i="40" s="1"/>
  <c r="C49" i="40"/>
  <c r="C50" i="40" s="1"/>
  <c r="C51" i="40" s="1"/>
  <c r="C53" i="40" s="1"/>
  <c r="C61" i="40" s="1"/>
  <c r="C160" i="42" s="1"/>
  <c r="C38" i="40"/>
  <c r="C39" i="40" s="1"/>
  <c r="C40" i="40" s="1"/>
  <c r="C41" i="40" s="1"/>
  <c r="C49" i="39"/>
  <c r="C50" i="39" s="1"/>
  <c r="C51" i="39" s="1"/>
  <c r="C53" i="39" s="1"/>
  <c r="C61" i="39" s="1"/>
  <c r="C160" i="41" s="1"/>
  <c r="C20" i="39"/>
  <c r="C21" i="39" s="1"/>
  <c r="C22" i="39" s="1"/>
  <c r="C38" i="39"/>
  <c r="C39" i="39" s="1"/>
  <c r="C40" i="39" s="1"/>
  <c r="C41" i="39" s="1"/>
  <c r="C49" i="34"/>
  <c r="C38" i="34"/>
  <c r="C20" i="34"/>
  <c r="AD23" i="31"/>
  <c r="AD31" i="30"/>
  <c r="AD70" i="31"/>
  <c r="AD17" i="31"/>
  <c r="AD50" i="30"/>
  <c r="AD27" i="32"/>
  <c r="AD15" i="31"/>
  <c r="AD35" i="31"/>
  <c r="AD61" i="32"/>
  <c r="AD23" i="30"/>
  <c r="AD29" i="32"/>
  <c r="AD12" i="32"/>
  <c r="AD63" i="30"/>
  <c r="AD18" i="31"/>
  <c r="AD76" i="32"/>
  <c r="AD44" i="30"/>
  <c r="AD56" i="32"/>
  <c r="AD40" i="32"/>
  <c r="AD29" i="31"/>
  <c r="AD61" i="30"/>
  <c r="AD28" i="32"/>
  <c r="AD81" i="31"/>
  <c r="AD73" i="31"/>
  <c r="AD65" i="31"/>
  <c r="AD57" i="31"/>
  <c r="AD9" i="31"/>
  <c r="AD32" i="31"/>
  <c r="AD11" i="31"/>
  <c r="AD72" i="30"/>
  <c r="AD82" i="32"/>
  <c r="AD74" i="32"/>
  <c r="AD66" i="32"/>
  <c r="AD50" i="32"/>
  <c r="AE50" i="32"/>
  <c r="AD28" i="31"/>
  <c r="AD40" i="30"/>
  <c r="AD46" i="30"/>
  <c r="AD51" i="32"/>
  <c r="AD9" i="32"/>
  <c r="AD73" i="30"/>
  <c r="AD34" i="32"/>
  <c r="AD84" i="31"/>
  <c r="AD76" i="31"/>
  <c r="AD64" i="31"/>
  <c r="AD56" i="31"/>
  <c r="AD68" i="31"/>
  <c r="AD23" i="32"/>
  <c r="AD52" i="30"/>
  <c r="AD9" i="30"/>
  <c r="AD47" i="30"/>
  <c r="AD19" i="32"/>
  <c r="AD42" i="31"/>
  <c r="AD76" i="30"/>
  <c r="AD21" i="30"/>
  <c r="AD18" i="30"/>
  <c r="AD54" i="32"/>
  <c r="AD38" i="32"/>
  <c r="AD5" i="31"/>
  <c r="AD37" i="32"/>
  <c r="AD22" i="32"/>
  <c r="AD79" i="31"/>
  <c r="AD71" i="31"/>
  <c r="AD63" i="31"/>
  <c r="AD55" i="31"/>
  <c r="AD47" i="31"/>
  <c r="AD31" i="31"/>
  <c r="AD78" i="30"/>
  <c r="AD26" i="32"/>
  <c r="AD38" i="31"/>
  <c r="AD25" i="31"/>
  <c r="AD7" i="31"/>
  <c r="AD80" i="32"/>
  <c r="AD72" i="32"/>
  <c r="AD48" i="32"/>
  <c r="AD39" i="31"/>
  <c r="AD35" i="30"/>
  <c r="AD33" i="32"/>
  <c r="AD16" i="32"/>
  <c r="AD54" i="31"/>
  <c r="AD25" i="32"/>
  <c r="AD6" i="31"/>
  <c r="AD75" i="32"/>
  <c r="AD6" i="32"/>
  <c r="AD36" i="30"/>
  <c r="AD35" i="32"/>
  <c r="AD36" i="31"/>
  <c r="AD13" i="30"/>
  <c r="AD12" i="30"/>
  <c r="AD81" i="30"/>
  <c r="AD58" i="30"/>
  <c r="AD43" i="32"/>
  <c r="AD4" i="30"/>
  <c r="AD84" i="30"/>
  <c r="AD69" i="32"/>
  <c r="AD49" i="30"/>
  <c r="AD20" i="30"/>
  <c r="AD48" i="30"/>
  <c r="AD57" i="32"/>
  <c r="AD67" i="31"/>
  <c r="AD34" i="31"/>
  <c r="AD49" i="31"/>
  <c r="AD41" i="31"/>
  <c r="AD54" i="30"/>
  <c r="AD11" i="32"/>
  <c r="AD38" i="30"/>
  <c r="AD14" i="30"/>
  <c r="AD17" i="30"/>
  <c r="AD5" i="32"/>
  <c r="AD37" i="30"/>
  <c r="AD13" i="32"/>
  <c r="AD21" i="32"/>
  <c r="AD58" i="31"/>
  <c r="AD22" i="31"/>
  <c r="AD33" i="31"/>
  <c r="AD60" i="30"/>
  <c r="AD67" i="32"/>
  <c r="AD19" i="30"/>
  <c r="AD15" i="30"/>
  <c r="AD48" i="31"/>
  <c r="AD40" i="31"/>
  <c r="AD82" i="30"/>
  <c r="AD10" i="32"/>
  <c r="AD30" i="31"/>
  <c r="AD68" i="30"/>
  <c r="AD81" i="32"/>
  <c r="AD73" i="32"/>
  <c r="AD65" i="32"/>
  <c r="AD49" i="32"/>
  <c r="AD27" i="31"/>
  <c r="AD27" i="30"/>
  <c r="AD41" i="30"/>
  <c r="AD11" i="30"/>
  <c r="AD13" i="31"/>
  <c r="AD33" i="30"/>
  <c r="AD24" i="30"/>
  <c r="AD65" i="30"/>
  <c r="AD78" i="31"/>
  <c r="AD50" i="31"/>
  <c r="AD74" i="30"/>
  <c r="AD24" i="31"/>
  <c r="AD71" i="32"/>
  <c r="AD71" i="30"/>
  <c r="AD30" i="30"/>
  <c r="AD75" i="30"/>
  <c r="AD64" i="30"/>
  <c r="AD64" i="32"/>
  <c r="AD26" i="31"/>
  <c r="AD29" i="30"/>
  <c r="AD5" i="30"/>
  <c r="AD12" i="31"/>
  <c r="AD32" i="30"/>
  <c r="AD6" i="30"/>
  <c r="AD53" i="32"/>
  <c r="AD36" i="32"/>
  <c r="AD74" i="31"/>
  <c r="AD47" i="32"/>
  <c r="AD20" i="31"/>
  <c r="AD15" i="32"/>
  <c r="AD56" i="30"/>
  <c r="AD25" i="30"/>
  <c r="AD46" i="31"/>
  <c r="AD79" i="32"/>
  <c r="AD32" i="32"/>
  <c r="AD16" i="31"/>
  <c r="AD66" i="30"/>
  <c r="AD19" i="31"/>
  <c r="AD77" i="32"/>
  <c r="AD45" i="32"/>
  <c r="AD67" i="30"/>
  <c r="AD79" i="30"/>
  <c r="AD62" i="31"/>
  <c r="AD59" i="32"/>
  <c r="AD83" i="31"/>
  <c r="AD7" i="30"/>
  <c r="AD26" i="30"/>
  <c r="AD22" i="30"/>
  <c r="AD42" i="30"/>
  <c r="AD52" i="32"/>
  <c r="AD77" i="30"/>
  <c r="AD7" i="32"/>
  <c r="AD77" i="31"/>
  <c r="AD69" i="31"/>
  <c r="AD61" i="31"/>
  <c r="AD53" i="31"/>
  <c r="AD45" i="31"/>
  <c r="AD21" i="31"/>
  <c r="AD70" i="30"/>
  <c r="AD24" i="32"/>
  <c r="AD4" i="31"/>
  <c r="AD78" i="32"/>
  <c r="AD70" i="32"/>
  <c r="AD62" i="32"/>
  <c r="AD46" i="32"/>
  <c r="AD55" i="30"/>
  <c r="AD83" i="30"/>
  <c r="AD51" i="30"/>
  <c r="AD20" i="32"/>
  <c r="AD59" i="30"/>
  <c r="AD39" i="30"/>
  <c r="AD55" i="32"/>
  <c r="AD39" i="32"/>
  <c r="AD57" i="30"/>
  <c r="AD80" i="31"/>
  <c r="AD72" i="31"/>
  <c r="AD60" i="31"/>
  <c r="AD52" i="31"/>
  <c r="AD44" i="31"/>
  <c r="AD31" i="32"/>
  <c r="AD34" i="30"/>
  <c r="AD10" i="30"/>
  <c r="AD8" i="30"/>
  <c r="AD58" i="32"/>
  <c r="AD42" i="32"/>
  <c r="AD69" i="30"/>
  <c r="AD30" i="32"/>
  <c r="AD75" i="31"/>
  <c r="AD59" i="31"/>
  <c r="AD51" i="31"/>
  <c r="AD43" i="31"/>
  <c r="AD14" i="31"/>
  <c r="AD62" i="30"/>
  <c r="AD17" i="32"/>
  <c r="AD80" i="30"/>
  <c r="AD84" i="32"/>
  <c r="AD68" i="32"/>
  <c r="AD60" i="32"/>
  <c r="AD44" i="32"/>
  <c r="AD45" i="30"/>
  <c r="AD53" i="30"/>
  <c r="AD16" i="30"/>
  <c r="AD18" i="32"/>
  <c r="AD43" i="30"/>
  <c r="AD41" i="32"/>
  <c r="AD4" i="32"/>
  <c r="AD82" i="31"/>
  <c r="AD66" i="31"/>
  <c r="AD10" i="31"/>
  <c r="AE10" i="31"/>
  <c r="AD37" i="31"/>
  <c r="AD83" i="32"/>
  <c r="AD63" i="32"/>
  <c r="AD14" i="32"/>
  <c r="AD28" i="30"/>
  <c r="C95" i="42" l="1"/>
  <c r="D20" i="40"/>
  <c r="D21" i="40" s="1"/>
  <c r="D22" i="40" s="1"/>
  <c r="D49" i="40"/>
  <c r="D50" i="40" s="1"/>
  <c r="D51" i="40" s="1"/>
  <c r="D53" i="40" s="1"/>
  <c r="D61" i="40" s="1"/>
  <c r="D160" i="42" s="1"/>
  <c r="D38" i="40"/>
  <c r="D39" i="40" s="1"/>
  <c r="D40" i="40" s="1"/>
  <c r="D41" i="40" s="1"/>
  <c r="C59" i="40"/>
  <c r="C158" i="42" s="1"/>
  <c r="C29" i="40"/>
  <c r="C149" i="42" s="1"/>
  <c r="C26" i="40"/>
  <c r="C30" i="40" s="1"/>
  <c r="C150" i="42" s="1"/>
  <c r="C44" i="40"/>
  <c r="C60" i="40" s="1"/>
  <c r="C159" i="42" s="1"/>
  <c r="C59" i="39"/>
  <c r="C158" i="41" s="1"/>
  <c r="C29" i="39"/>
  <c r="C149" i="41" s="1"/>
  <c r="C26" i="39"/>
  <c r="C30" i="39" s="1"/>
  <c r="C44" i="39"/>
  <c r="C60" i="39" s="1"/>
  <c r="C159" i="41" s="1"/>
  <c r="D20" i="39"/>
  <c r="D21" i="39" s="1"/>
  <c r="D22" i="39" s="1"/>
  <c r="D49" i="39"/>
  <c r="D50" i="39" s="1"/>
  <c r="D51" i="39" s="1"/>
  <c r="D53" i="39" s="1"/>
  <c r="D61" i="39" s="1"/>
  <c r="D160" i="41" s="1"/>
  <c r="D38" i="39"/>
  <c r="D39" i="39" s="1"/>
  <c r="D40" i="39" s="1"/>
  <c r="D41" i="39" s="1"/>
  <c r="D49" i="34"/>
  <c r="D38" i="34"/>
  <c r="D20" i="34"/>
  <c r="AE17" i="32"/>
  <c r="AE31" i="32"/>
  <c r="AE80" i="31"/>
  <c r="AE42" i="30"/>
  <c r="AE32" i="32"/>
  <c r="AE74" i="31"/>
  <c r="AE24" i="30"/>
  <c r="AE65" i="32"/>
  <c r="AE48" i="31"/>
  <c r="AE37" i="30"/>
  <c r="AE49" i="31"/>
  <c r="AE13" i="30"/>
  <c r="AE6" i="31"/>
  <c r="AE39" i="31"/>
  <c r="AE38" i="31"/>
  <c r="AE47" i="31"/>
  <c r="AE37" i="32"/>
  <c r="AE23" i="32"/>
  <c r="AE14" i="32"/>
  <c r="AE41" i="32"/>
  <c r="AE84" i="32"/>
  <c r="AE75" i="31"/>
  <c r="AE10" i="30"/>
  <c r="AE52" i="31"/>
  <c r="AE72" i="31"/>
  <c r="AE57" i="30"/>
  <c r="AE62" i="32"/>
  <c r="AE78" i="32"/>
  <c r="AE24" i="32"/>
  <c r="AE53" i="31"/>
  <c r="AE26" i="30"/>
  <c r="AE83" i="31"/>
  <c r="AE62" i="31"/>
  <c r="AE67" i="30"/>
  <c r="AE77" i="32"/>
  <c r="AE32" i="30"/>
  <c r="AE64" i="30"/>
  <c r="AE71" i="32"/>
  <c r="AE74" i="30"/>
  <c r="AE78" i="31"/>
  <c r="AE81" i="32"/>
  <c r="AE30" i="31"/>
  <c r="AE82" i="30"/>
  <c r="AE19" i="30"/>
  <c r="AE60" i="30"/>
  <c r="AE49" i="30"/>
  <c r="AE84" i="30"/>
  <c r="AE54" i="31"/>
  <c r="AE7" i="31"/>
  <c r="AE63" i="31"/>
  <c r="AE79" i="31"/>
  <c r="AE18" i="30"/>
  <c r="AE76" i="30"/>
  <c r="AE9" i="30"/>
  <c r="AE56" i="31"/>
  <c r="AE76" i="31"/>
  <c r="AE46" i="30"/>
  <c r="AE66" i="32"/>
  <c r="AE11" i="31"/>
  <c r="AE9" i="31"/>
  <c r="AE65" i="31"/>
  <c r="AE44" i="30"/>
  <c r="AE18" i="31"/>
  <c r="AE12" i="32"/>
  <c r="AE35" i="31"/>
  <c r="AE27" i="32"/>
  <c r="AE17" i="31"/>
  <c r="AE37" i="31"/>
  <c r="AE14" i="31"/>
  <c r="AE69" i="30"/>
  <c r="AE8" i="31"/>
  <c r="AE39" i="30"/>
  <c r="AE77" i="31"/>
  <c r="AE66" i="30"/>
  <c r="AE20" i="31"/>
  <c r="AE5" i="30"/>
  <c r="AE27" i="31"/>
  <c r="AE22" i="31"/>
  <c r="AE17" i="30"/>
  <c r="AE67" i="31"/>
  <c r="AE6" i="32"/>
  <c r="AE51" i="31"/>
  <c r="AE44" i="32"/>
  <c r="AE62" i="30"/>
  <c r="AE30" i="32"/>
  <c r="AE8" i="30"/>
  <c r="AE55" i="32"/>
  <c r="AE51" i="30"/>
  <c r="AE69" i="31"/>
  <c r="AE52" i="32"/>
  <c r="AE7" i="30"/>
  <c r="AE45" i="32"/>
  <c r="AE19" i="31"/>
  <c r="AE16" i="31"/>
  <c r="AE25" i="30"/>
  <c r="AE15" i="32"/>
  <c r="AE47" i="32"/>
  <c r="AE6" i="30"/>
  <c r="AE12" i="31"/>
  <c r="AE64" i="32"/>
  <c r="AE24" i="31"/>
  <c r="AE50" i="31"/>
  <c r="AE65" i="30"/>
  <c r="AE33" i="30"/>
  <c r="AE11" i="30"/>
  <c r="AE49" i="32"/>
  <c r="AE73" i="32"/>
  <c r="AE10" i="32"/>
  <c r="AE40" i="31"/>
  <c r="AE15" i="30"/>
  <c r="AE58" i="31"/>
  <c r="AE13" i="32"/>
  <c r="AE5" i="32"/>
  <c r="AE14" i="30"/>
  <c r="AE11" i="32"/>
  <c r="AE41" i="31"/>
  <c r="AE34" i="31"/>
  <c r="AE20" i="30"/>
  <c r="AE69" i="32"/>
  <c r="AE58" i="30"/>
  <c r="AE12" i="30"/>
  <c r="AE36" i="31"/>
  <c r="AE36" i="30"/>
  <c r="AE75" i="32"/>
  <c r="AE25" i="32"/>
  <c r="AE16" i="32"/>
  <c r="AE35" i="30"/>
  <c r="AE25" i="31"/>
  <c r="AE26" i="32"/>
  <c r="AE31" i="31"/>
  <c r="AE22" i="32"/>
  <c r="AE54" i="32"/>
  <c r="AE21" i="30"/>
  <c r="AE42" i="31"/>
  <c r="AE68" i="31"/>
  <c r="AE64" i="31"/>
  <c r="AE84" i="31"/>
  <c r="AE73" i="30"/>
  <c r="AE51" i="32"/>
  <c r="AE40" i="30"/>
  <c r="AE74" i="32"/>
  <c r="AE72" i="30"/>
  <c r="AE32" i="31"/>
  <c r="AE73" i="31"/>
  <c r="AE28" i="32"/>
  <c r="AE29" i="31"/>
  <c r="AE23" i="30"/>
  <c r="AE31" i="30"/>
  <c r="AE4" i="32"/>
  <c r="AE60" i="32"/>
  <c r="AE58" i="32"/>
  <c r="AE60" i="31"/>
  <c r="AE83" i="30"/>
  <c r="AE61" i="31"/>
  <c r="AE46" i="31"/>
  <c r="AE53" i="32"/>
  <c r="AE26" i="31"/>
  <c r="AE13" i="31"/>
  <c r="AE21" i="32"/>
  <c r="AE38" i="30"/>
  <c r="AE48" i="30"/>
  <c r="AE43" i="32"/>
  <c r="AE35" i="32"/>
  <c r="AE72" i="32"/>
  <c r="AE34" i="32"/>
  <c r="AE18" i="32"/>
  <c r="AE83" i="32"/>
  <c r="AE82" i="31"/>
  <c r="AE53" i="30"/>
  <c r="AE68" i="32"/>
  <c r="AE80" i="30"/>
  <c r="AE42" i="32"/>
  <c r="AE34" i="30"/>
  <c r="AE44" i="31"/>
  <c r="AE59" i="30"/>
  <c r="AE55" i="30"/>
  <c r="AE21" i="31"/>
  <c r="AE7" i="32"/>
  <c r="AE28" i="30"/>
  <c r="AE63" i="32"/>
  <c r="AE66" i="31"/>
  <c r="AE16" i="30"/>
  <c r="AE45" i="30"/>
  <c r="AE8" i="32"/>
  <c r="AE43" i="31"/>
  <c r="AE59" i="31"/>
  <c r="AE20" i="32"/>
  <c r="AE46" i="32"/>
  <c r="AE70" i="32"/>
  <c r="AE4" i="31"/>
  <c r="AE70" i="30"/>
  <c r="AE45" i="31"/>
  <c r="AE77" i="30"/>
  <c r="AE22" i="30"/>
  <c r="AE59" i="32"/>
  <c r="AE79" i="30"/>
  <c r="AE79" i="32"/>
  <c r="AE36" i="32"/>
  <c r="AE29" i="30"/>
  <c r="AE75" i="30"/>
  <c r="AE71" i="30"/>
  <c r="AE27" i="30"/>
  <c r="AE68" i="30"/>
  <c r="AE67" i="32"/>
  <c r="AE33" i="31"/>
  <c r="AE57" i="32"/>
  <c r="AE4" i="30"/>
  <c r="AE48" i="32"/>
  <c r="AE80" i="32"/>
  <c r="AE55" i="31"/>
  <c r="AE71" i="31"/>
  <c r="AE5" i="31"/>
  <c r="AE47" i="30"/>
  <c r="AE52" i="30"/>
  <c r="AE57" i="31"/>
  <c r="AE56" i="32"/>
  <c r="AE63" i="30"/>
  <c r="AE29" i="32"/>
  <c r="AE61" i="32"/>
  <c r="AE50" i="30"/>
  <c r="AE23" i="31"/>
  <c r="AE43" i="30"/>
  <c r="AE39" i="32"/>
  <c r="AE56" i="30"/>
  <c r="AE30" i="30"/>
  <c r="AE41" i="30"/>
  <c r="AE54" i="30"/>
  <c r="AE81" i="30"/>
  <c r="AE33" i="32"/>
  <c r="AE78" i="30"/>
  <c r="AE38" i="32"/>
  <c r="AE19" i="32"/>
  <c r="AE9" i="32"/>
  <c r="AE28" i="31"/>
  <c r="AE82" i="32"/>
  <c r="AE81" i="31"/>
  <c r="AE61" i="30"/>
  <c r="AE40" i="32"/>
  <c r="AE76" i="32"/>
  <c r="AE15" i="31"/>
  <c r="AE70" i="31"/>
  <c r="C94" i="41" l="1"/>
  <c r="C57" i="41"/>
  <c r="C93" i="41"/>
  <c r="C150" i="41"/>
  <c r="C56" i="39"/>
  <c r="C62" i="39" s="1"/>
  <c r="C161" i="41" s="1"/>
  <c r="C94" i="42"/>
  <c r="C93" i="42"/>
  <c r="C58" i="42"/>
  <c r="C153" i="42"/>
  <c r="D59" i="40"/>
  <c r="D158" i="42" s="1"/>
  <c r="E20" i="40"/>
  <c r="E21" i="40" s="1"/>
  <c r="E22" i="40" s="1"/>
  <c r="E49" i="40"/>
  <c r="E50" i="40" s="1"/>
  <c r="E51" i="40" s="1"/>
  <c r="E53" i="40" s="1"/>
  <c r="E61" i="40" s="1"/>
  <c r="E160" i="42" s="1"/>
  <c r="E38" i="40"/>
  <c r="E39" i="40" s="1"/>
  <c r="E40" i="40" s="1"/>
  <c r="E41" i="40" s="1"/>
  <c r="C57" i="42"/>
  <c r="C152" i="42"/>
  <c r="D95" i="42"/>
  <c r="C56" i="40"/>
  <c r="C62" i="40" s="1"/>
  <c r="C161" i="42" s="1"/>
  <c r="D26" i="40"/>
  <c r="D30" i="40" s="1"/>
  <c r="D150" i="42" s="1"/>
  <c r="D29" i="40"/>
  <c r="D149" i="42" s="1"/>
  <c r="D44" i="40"/>
  <c r="D60" i="40" s="1"/>
  <c r="D159" i="42" s="1"/>
  <c r="D94" i="42" s="1"/>
  <c r="D59" i="39"/>
  <c r="D158" i="41" s="1"/>
  <c r="D93" i="41" s="1"/>
  <c r="D29" i="39"/>
  <c r="D149" i="41" s="1"/>
  <c r="D26" i="39"/>
  <c r="D30" i="39" s="1"/>
  <c r="D150" i="41" s="1"/>
  <c r="D44" i="39"/>
  <c r="D60" i="39" s="1"/>
  <c r="D159" i="41" s="1"/>
  <c r="D94" i="41" s="1"/>
  <c r="E20" i="39"/>
  <c r="E21" i="39" s="1"/>
  <c r="E22" i="39" s="1"/>
  <c r="E49" i="39"/>
  <c r="E50" i="39" s="1"/>
  <c r="E51" i="39" s="1"/>
  <c r="E53" i="39" s="1"/>
  <c r="E61" i="39" s="1"/>
  <c r="E160" i="41" s="1"/>
  <c r="E38" i="39"/>
  <c r="E39" i="39" s="1"/>
  <c r="E40" i="39" s="1"/>
  <c r="E41" i="39" s="1"/>
  <c r="E38" i="34"/>
  <c r="E49" i="34"/>
  <c r="E20" i="34"/>
  <c r="AF28" i="31"/>
  <c r="AG28" i="31"/>
  <c r="AF19" i="32"/>
  <c r="AG19" i="32"/>
  <c r="AF78" i="30"/>
  <c r="AG78" i="30"/>
  <c r="AF81" i="30"/>
  <c r="AG81" i="30"/>
  <c r="AG41" i="30"/>
  <c r="AF41" i="30"/>
  <c r="AF56" i="30"/>
  <c r="AG56" i="30"/>
  <c r="AF61" i="32"/>
  <c r="AG61" i="32"/>
  <c r="AG63" i="30"/>
  <c r="AF63" i="30"/>
  <c r="AG57" i="31"/>
  <c r="AF57" i="31"/>
  <c r="AF47" i="30"/>
  <c r="AG47" i="30"/>
  <c r="AF33" i="31"/>
  <c r="AG33" i="31"/>
  <c r="AG77" i="30"/>
  <c r="AF77" i="30"/>
  <c r="AF20" i="32"/>
  <c r="AG20" i="32"/>
  <c r="AG21" i="31"/>
  <c r="AF21" i="31"/>
  <c r="AF34" i="30"/>
  <c r="AG34" i="30"/>
  <c r="AG53" i="30"/>
  <c r="AF53" i="30"/>
  <c r="AF83" i="32"/>
  <c r="AG83" i="32"/>
  <c r="AF72" i="32"/>
  <c r="AG72" i="32"/>
  <c r="AF53" i="32"/>
  <c r="AG53" i="32"/>
  <c r="AF72" i="30"/>
  <c r="AG72" i="30"/>
  <c r="AF42" i="31"/>
  <c r="AG42" i="31"/>
  <c r="AF16" i="32"/>
  <c r="AG16" i="32"/>
  <c r="AF58" i="30"/>
  <c r="AG58" i="30"/>
  <c r="AF14" i="30"/>
  <c r="AG14" i="30"/>
  <c r="AG15" i="30"/>
  <c r="AF15" i="30"/>
  <c r="AG33" i="30"/>
  <c r="AF33" i="30"/>
  <c r="AG6" i="30"/>
  <c r="AF6" i="30"/>
  <c r="AF16" i="31"/>
  <c r="AG16" i="31"/>
  <c r="AG45" i="32"/>
  <c r="AF45" i="32"/>
  <c r="AF51" i="30"/>
  <c r="AG51" i="30"/>
  <c r="AF67" i="31"/>
  <c r="AG67" i="31"/>
  <c r="AG5" i="30"/>
  <c r="AF5" i="30"/>
  <c r="AG39" i="30"/>
  <c r="AF39" i="30"/>
  <c r="AG69" i="30"/>
  <c r="AF69" i="30"/>
  <c r="AG37" i="31"/>
  <c r="AF37" i="31"/>
  <c r="AF66" i="32"/>
  <c r="AG66" i="32"/>
  <c r="AF9" i="30"/>
  <c r="AG9" i="30"/>
  <c r="AF18" i="30"/>
  <c r="AG18" i="30"/>
  <c r="AF63" i="31"/>
  <c r="AG63" i="31"/>
  <c r="AF54" i="31"/>
  <c r="AG54" i="31"/>
  <c r="AG49" i="30"/>
  <c r="AF49" i="30"/>
  <c r="AF19" i="30"/>
  <c r="AG19" i="30"/>
  <c r="AG78" i="31"/>
  <c r="AF78" i="31"/>
  <c r="AF71" i="32"/>
  <c r="AG71" i="32"/>
  <c r="AF32" i="30"/>
  <c r="AG32" i="30"/>
  <c r="AF83" i="31"/>
  <c r="AG83" i="31"/>
  <c r="AF78" i="32"/>
  <c r="AG78" i="32"/>
  <c r="AF57" i="30"/>
  <c r="AG57" i="30"/>
  <c r="AG41" i="32"/>
  <c r="AF41" i="32"/>
  <c r="AF23" i="32"/>
  <c r="AG23" i="32"/>
  <c r="AG47" i="31"/>
  <c r="AF47" i="31"/>
  <c r="AG39" i="31"/>
  <c r="AF39" i="31"/>
  <c r="AF13" i="30"/>
  <c r="AG13" i="30"/>
  <c r="AG37" i="30"/>
  <c r="AF37" i="30"/>
  <c r="AG65" i="32"/>
  <c r="AF65" i="32"/>
  <c r="AF31" i="32"/>
  <c r="AG31" i="32"/>
  <c r="AG15" i="31"/>
  <c r="AF15" i="31"/>
  <c r="AF81" i="31"/>
  <c r="AG81" i="31"/>
  <c r="AG43" i="30"/>
  <c r="AF43" i="30"/>
  <c r="AG29" i="32"/>
  <c r="AF29" i="32"/>
  <c r="AF55" i="31"/>
  <c r="AG55" i="31"/>
  <c r="AF48" i="32"/>
  <c r="AG48" i="32"/>
  <c r="AF67" i="32"/>
  <c r="AG67" i="32"/>
  <c r="AG75" i="30"/>
  <c r="AF75" i="30"/>
  <c r="AF36" i="32"/>
  <c r="AG36" i="32"/>
  <c r="AG79" i="30"/>
  <c r="AF79" i="30"/>
  <c r="AG22" i="30"/>
  <c r="AF22" i="30"/>
  <c r="AG4" i="31"/>
  <c r="AF4" i="31"/>
  <c r="AF59" i="31"/>
  <c r="AG59" i="31"/>
  <c r="AG8" i="32"/>
  <c r="AF8" i="32"/>
  <c r="AG16" i="30"/>
  <c r="AF16" i="30"/>
  <c r="AF80" i="30"/>
  <c r="AG80" i="30"/>
  <c r="AF34" i="32"/>
  <c r="AG34" i="32"/>
  <c r="AF35" i="32"/>
  <c r="AG35" i="32"/>
  <c r="AG21" i="32"/>
  <c r="AF21" i="32"/>
  <c r="AF83" i="30"/>
  <c r="AG83" i="30"/>
  <c r="AG58" i="32"/>
  <c r="AF58" i="32"/>
  <c r="AF28" i="32"/>
  <c r="AG28" i="32"/>
  <c r="AF74" i="32"/>
  <c r="AG74" i="32"/>
  <c r="AF51" i="32"/>
  <c r="AG51" i="32"/>
  <c r="AG84" i="31"/>
  <c r="AF84" i="31"/>
  <c r="AG68" i="31"/>
  <c r="AF68" i="31"/>
  <c r="AF21" i="30"/>
  <c r="AG21" i="30"/>
  <c r="AF22" i="32"/>
  <c r="AG22" i="32"/>
  <c r="AG35" i="30"/>
  <c r="AF35" i="30"/>
  <c r="AG12" i="30"/>
  <c r="AF12" i="30"/>
  <c r="AF5" i="32"/>
  <c r="AG5" i="32"/>
  <c r="AG58" i="31"/>
  <c r="AF58" i="31"/>
  <c r="AF40" i="31"/>
  <c r="AG40" i="31"/>
  <c r="AG73" i="32"/>
  <c r="AF73" i="32"/>
  <c r="AG24" i="31"/>
  <c r="AF24" i="31"/>
  <c r="AF47" i="32"/>
  <c r="AG47" i="32"/>
  <c r="AF25" i="30"/>
  <c r="AG25" i="30"/>
  <c r="AG19" i="31"/>
  <c r="AF19" i="31"/>
  <c r="AG7" i="30"/>
  <c r="AF7" i="30"/>
  <c r="AF69" i="31"/>
  <c r="AG69" i="31"/>
  <c r="AF30" i="32"/>
  <c r="AG30" i="32"/>
  <c r="AF51" i="31"/>
  <c r="AG51" i="31"/>
  <c r="AF22" i="31"/>
  <c r="AG22" i="31"/>
  <c r="AF66" i="30"/>
  <c r="AG66" i="30"/>
  <c r="AF27" i="32"/>
  <c r="AG27" i="32"/>
  <c r="AF12" i="32"/>
  <c r="AG12" i="32"/>
  <c r="AG44" i="30"/>
  <c r="AF44" i="30"/>
  <c r="AF9" i="31"/>
  <c r="AG9" i="31"/>
  <c r="AG76" i="31"/>
  <c r="AF76" i="31"/>
  <c r="AF30" i="31"/>
  <c r="AG30" i="31"/>
  <c r="AG67" i="30"/>
  <c r="AF67" i="30"/>
  <c r="AF53" i="31"/>
  <c r="AG53" i="31"/>
  <c r="AF52" i="31"/>
  <c r="AG52" i="31"/>
  <c r="AF75" i="31"/>
  <c r="AG75" i="31"/>
  <c r="AF74" i="31"/>
  <c r="AG74" i="31"/>
  <c r="AF42" i="30"/>
  <c r="AG42" i="30"/>
  <c r="AF40" i="32"/>
  <c r="AG40" i="32"/>
  <c r="AF50" i="30"/>
  <c r="AG50" i="30"/>
  <c r="AF76" i="32"/>
  <c r="AG76" i="32"/>
  <c r="AF82" i="32"/>
  <c r="AG82" i="32"/>
  <c r="AG9" i="32"/>
  <c r="AF9" i="32"/>
  <c r="AG33" i="32"/>
  <c r="AF33" i="32"/>
  <c r="AF54" i="30"/>
  <c r="AG54" i="30"/>
  <c r="AF39" i="32"/>
  <c r="AG39" i="32"/>
  <c r="AF56" i="32"/>
  <c r="AG56" i="32"/>
  <c r="AF52" i="30"/>
  <c r="AG52" i="30"/>
  <c r="AF5" i="31"/>
  <c r="AG5" i="31"/>
  <c r="AF57" i="32"/>
  <c r="AG57" i="32"/>
  <c r="AG27" i="30"/>
  <c r="AF27" i="30"/>
  <c r="AF45" i="31"/>
  <c r="AG45" i="31"/>
  <c r="AG46" i="32"/>
  <c r="AF46" i="32"/>
  <c r="AF63" i="32"/>
  <c r="AG63" i="32"/>
  <c r="AF7" i="32"/>
  <c r="AG7" i="32"/>
  <c r="AF55" i="30"/>
  <c r="AG55" i="30"/>
  <c r="AF44" i="31"/>
  <c r="AG44" i="31"/>
  <c r="AF42" i="32"/>
  <c r="AG42" i="32"/>
  <c r="AF82" i="31"/>
  <c r="AG82" i="31"/>
  <c r="AG48" i="30"/>
  <c r="AF48" i="30"/>
  <c r="AF26" i="31"/>
  <c r="AG26" i="31"/>
  <c r="AG46" i="31"/>
  <c r="AF46" i="31"/>
  <c r="AF4" i="32"/>
  <c r="AG4" i="32"/>
  <c r="AG23" i="30"/>
  <c r="AF23" i="30"/>
  <c r="AF32" i="31"/>
  <c r="AG32" i="31"/>
  <c r="AG26" i="32"/>
  <c r="AF26" i="32"/>
  <c r="AG25" i="32"/>
  <c r="AF25" i="32"/>
  <c r="AF36" i="30"/>
  <c r="AG36" i="30"/>
  <c r="AG69" i="32"/>
  <c r="AF69" i="32"/>
  <c r="AG34" i="31"/>
  <c r="AF34" i="31"/>
  <c r="AF11" i="32"/>
  <c r="AG11" i="32"/>
  <c r="AF11" i="30"/>
  <c r="AG11" i="30"/>
  <c r="AG65" i="30"/>
  <c r="AF65" i="30"/>
  <c r="AF12" i="31"/>
  <c r="AG12" i="31"/>
  <c r="AF55" i="32"/>
  <c r="AG55" i="32"/>
  <c r="AF44" i="32"/>
  <c r="AG44" i="32"/>
  <c r="AG6" i="32"/>
  <c r="AF6" i="32"/>
  <c r="AG27" i="31"/>
  <c r="AF27" i="31"/>
  <c r="AG20" i="31"/>
  <c r="AF20" i="31"/>
  <c r="AF8" i="31"/>
  <c r="AG8" i="31"/>
  <c r="AG17" i="31"/>
  <c r="AF17" i="31"/>
  <c r="AF18" i="31"/>
  <c r="AG18" i="31"/>
  <c r="AG65" i="31"/>
  <c r="AF65" i="31"/>
  <c r="AF11" i="31"/>
  <c r="AG11" i="31"/>
  <c r="AF46" i="30"/>
  <c r="AG46" i="30"/>
  <c r="AF56" i="31"/>
  <c r="AG56" i="31"/>
  <c r="AF79" i="31"/>
  <c r="AG79" i="31"/>
  <c r="AF7" i="31"/>
  <c r="AG7" i="31"/>
  <c r="AG60" i="30"/>
  <c r="AF60" i="30"/>
  <c r="AG81" i="32"/>
  <c r="AF81" i="32"/>
  <c r="AG74" i="30"/>
  <c r="AF74" i="30"/>
  <c r="AG77" i="32"/>
  <c r="AF77" i="32"/>
  <c r="AG26" i="30"/>
  <c r="AF26" i="30"/>
  <c r="AF24" i="32"/>
  <c r="AG24" i="32"/>
  <c r="AG10" i="30"/>
  <c r="AF10" i="30"/>
  <c r="AF14" i="32"/>
  <c r="AG14" i="32"/>
  <c r="AG37" i="32"/>
  <c r="AF37" i="32"/>
  <c r="AF38" i="31"/>
  <c r="AG38" i="31"/>
  <c r="AF6" i="31"/>
  <c r="AG6" i="31"/>
  <c r="AF24" i="30"/>
  <c r="AG24" i="30"/>
  <c r="AF32" i="32"/>
  <c r="AG32" i="32"/>
  <c r="AG17" i="32"/>
  <c r="AF17" i="32"/>
  <c r="AF70" i="31"/>
  <c r="AG70" i="31"/>
  <c r="AF61" i="30"/>
  <c r="AG61" i="30"/>
  <c r="AF38" i="32"/>
  <c r="AG38" i="32"/>
  <c r="AG30" i="30"/>
  <c r="AF30" i="30"/>
  <c r="AF23" i="31"/>
  <c r="AG23" i="31"/>
  <c r="AF71" i="31"/>
  <c r="AG71" i="31"/>
  <c r="AF80" i="32"/>
  <c r="AG80" i="32"/>
  <c r="AF4" i="30"/>
  <c r="AG4" i="30"/>
  <c r="AG68" i="30"/>
  <c r="AF68" i="30"/>
  <c r="AF71" i="30"/>
  <c r="AG71" i="30"/>
  <c r="AF29" i="30"/>
  <c r="AG29" i="30"/>
  <c r="AF79" i="32"/>
  <c r="AG79" i="32"/>
  <c r="AF59" i="32"/>
  <c r="AG59" i="32"/>
  <c r="AG70" i="30"/>
  <c r="AF70" i="30"/>
  <c r="AF70" i="32"/>
  <c r="AG70" i="32"/>
  <c r="AF43" i="31"/>
  <c r="AG43" i="31"/>
  <c r="AF45" i="30"/>
  <c r="AG45" i="30"/>
  <c r="AF66" i="31"/>
  <c r="AG66" i="31"/>
  <c r="AF28" i="30"/>
  <c r="AG28" i="30"/>
  <c r="AF59" i="30"/>
  <c r="AG59" i="30"/>
  <c r="AF10" i="31"/>
  <c r="AG10" i="31"/>
  <c r="AF68" i="32"/>
  <c r="AG68" i="32"/>
  <c r="AF18" i="32"/>
  <c r="AG18" i="32"/>
  <c r="AF43" i="32"/>
  <c r="AG43" i="32"/>
  <c r="AF38" i="30"/>
  <c r="AG38" i="30"/>
  <c r="AG13" i="31"/>
  <c r="AF13" i="31"/>
  <c r="AF61" i="31"/>
  <c r="AG61" i="31"/>
  <c r="AF60" i="31"/>
  <c r="AG60" i="31"/>
  <c r="AF60" i="32"/>
  <c r="AG60" i="32"/>
  <c r="AG31" i="30"/>
  <c r="AF31" i="30"/>
  <c r="AG29" i="31"/>
  <c r="AF29" i="31"/>
  <c r="AG73" i="31"/>
  <c r="AF73" i="31"/>
  <c r="AF40" i="30"/>
  <c r="AG40" i="30"/>
  <c r="AF73" i="30"/>
  <c r="AG73" i="30"/>
  <c r="AG64" i="31"/>
  <c r="AF64" i="31"/>
  <c r="AG54" i="32"/>
  <c r="AF54" i="32"/>
  <c r="AF31" i="31"/>
  <c r="AG31" i="31"/>
  <c r="AG25" i="31"/>
  <c r="AF25" i="31"/>
  <c r="AF75" i="32"/>
  <c r="AG75" i="32"/>
  <c r="AF36" i="31"/>
  <c r="AG36" i="31"/>
  <c r="AG20" i="30"/>
  <c r="AF20" i="30"/>
  <c r="AG41" i="31"/>
  <c r="AF41" i="31"/>
  <c r="AG13" i="32"/>
  <c r="AF13" i="32"/>
  <c r="AF10" i="32"/>
  <c r="AG10" i="32"/>
  <c r="AF49" i="32"/>
  <c r="AG49" i="32"/>
  <c r="AG50" i="31"/>
  <c r="AF50" i="31"/>
  <c r="AF64" i="32"/>
  <c r="AG64" i="32"/>
  <c r="AF15" i="32"/>
  <c r="AG15" i="32"/>
  <c r="AF52" i="32"/>
  <c r="AG52" i="32"/>
  <c r="AF8" i="30"/>
  <c r="AG8" i="30"/>
  <c r="AF62" i="30"/>
  <c r="AG62" i="30"/>
  <c r="AF50" i="32"/>
  <c r="AG50" i="32"/>
  <c r="AG17" i="30"/>
  <c r="AF17" i="30"/>
  <c r="AG77" i="31"/>
  <c r="AF77" i="31"/>
  <c r="AF14" i="31"/>
  <c r="AG14" i="31"/>
  <c r="AG35" i="31"/>
  <c r="AF35" i="31"/>
  <c r="AF76" i="30"/>
  <c r="AG76" i="30"/>
  <c r="AF84" i="30"/>
  <c r="AG84" i="30"/>
  <c r="AF82" i="30"/>
  <c r="AG82" i="30"/>
  <c r="AF64" i="30"/>
  <c r="AG64" i="30"/>
  <c r="AF62" i="31"/>
  <c r="AG62" i="31"/>
  <c r="AF62" i="32"/>
  <c r="AG62" i="32"/>
  <c r="AF72" i="31"/>
  <c r="AG72" i="31"/>
  <c r="AF84" i="32"/>
  <c r="AG84" i="32"/>
  <c r="AG49" i="31"/>
  <c r="AF49" i="31"/>
  <c r="AF48" i="31"/>
  <c r="AG48" i="31"/>
  <c r="AG80" i="31"/>
  <c r="AF80" i="31"/>
  <c r="AC5" i="10"/>
  <c r="AC6" i="10"/>
  <c r="AC7" i="10"/>
  <c r="AC8" i="10"/>
  <c r="AC9" i="10"/>
  <c r="AC10" i="10"/>
  <c r="AC11" i="10"/>
  <c r="AC12" i="10"/>
  <c r="AC13" i="10"/>
  <c r="AC14" i="10"/>
  <c r="AC15" i="10"/>
  <c r="AC16" i="10"/>
  <c r="AC17" i="10"/>
  <c r="AC18" i="10"/>
  <c r="AC19" i="10"/>
  <c r="AC20" i="10"/>
  <c r="AC21" i="10"/>
  <c r="AC22"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AC46" i="10"/>
  <c r="AC47" i="10"/>
  <c r="AC48" i="10"/>
  <c r="AC49" i="10"/>
  <c r="AC50" i="10"/>
  <c r="AC51" i="10"/>
  <c r="AC53" i="10"/>
  <c r="AC54" i="10"/>
  <c r="AC55" i="10"/>
  <c r="AC56" i="10"/>
  <c r="AC57" i="10"/>
  <c r="AC58" i="10"/>
  <c r="AC59" i="10"/>
  <c r="AC61" i="10"/>
  <c r="AC62" i="10"/>
  <c r="AC63" i="10"/>
  <c r="AC64" i="10"/>
  <c r="AC65" i="10"/>
  <c r="AC66" i="10"/>
  <c r="AC67" i="10"/>
  <c r="AC69" i="10"/>
  <c r="AC70" i="10"/>
  <c r="AC71" i="10"/>
  <c r="AC72" i="10"/>
  <c r="AC73" i="10"/>
  <c r="AC74" i="10"/>
  <c r="AC75" i="10"/>
  <c r="AC77" i="10"/>
  <c r="AC78" i="10"/>
  <c r="AC79" i="10"/>
  <c r="AC80" i="10"/>
  <c r="AC81" i="10"/>
  <c r="AC82" i="10"/>
  <c r="AC83" i="10"/>
  <c r="C58" i="41" l="1"/>
  <c r="C96" i="41"/>
  <c r="D56" i="39"/>
  <c r="D62" i="39" s="1"/>
  <c r="D161" i="41" s="1"/>
  <c r="D96" i="41" s="1"/>
  <c r="C165" i="42"/>
  <c r="C96" i="42"/>
  <c r="C166" i="42"/>
  <c r="D56" i="40"/>
  <c r="D62" i="40" s="1"/>
  <c r="D161" i="42" s="1"/>
  <c r="D163" i="42" s="1"/>
  <c r="D101" i="42" s="1"/>
  <c r="C163" i="42"/>
  <c r="E59" i="40"/>
  <c r="E158" i="42" s="1"/>
  <c r="D93" i="42"/>
  <c r="G20" i="40"/>
  <c r="G21" i="40" s="1"/>
  <c r="G22" i="40" s="1"/>
  <c r="G49" i="40"/>
  <c r="G50" i="40" s="1"/>
  <c r="G51" i="40" s="1"/>
  <c r="G53" i="40" s="1"/>
  <c r="G61" i="40" s="1"/>
  <c r="G160" i="42" s="1"/>
  <c r="G38" i="40"/>
  <c r="G39" i="40" s="1"/>
  <c r="G40" i="40" s="1"/>
  <c r="G41" i="40" s="1"/>
  <c r="D57" i="42"/>
  <c r="D152" i="42"/>
  <c r="D62" i="42" s="1"/>
  <c r="E95" i="42"/>
  <c r="C63" i="42"/>
  <c r="C164" i="42"/>
  <c r="F20" i="40"/>
  <c r="F21" i="40" s="1"/>
  <c r="F22" i="40" s="1"/>
  <c r="F49" i="40"/>
  <c r="F50" i="40" s="1"/>
  <c r="F51" i="40" s="1"/>
  <c r="F53" i="40" s="1"/>
  <c r="F61" i="40" s="1"/>
  <c r="F160" i="42" s="1"/>
  <c r="F38" i="40"/>
  <c r="F39" i="40" s="1"/>
  <c r="F40" i="40" s="1"/>
  <c r="F41" i="40" s="1"/>
  <c r="D58" i="42"/>
  <c r="D153" i="42"/>
  <c r="D63" i="42" s="1"/>
  <c r="C62" i="42"/>
  <c r="E29" i="40"/>
  <c r="E149" i="42" s="1"/>
  <c r="E26" i="40"/>
  <c r="E30" i="40" s="1"/>
  <c r="E150" i="42" s="1"/>
  <c r="E44" i="40"/>
  <c r="E60" i="40" s="1"/>
  <c r="E159" i="42" s="1"/>
  <c r="F20" i="39"/>
  <c r="F21" i="39" s="1"/>
  <c r="F22" i="39" s="1"/>
  <c r="F49" i="39"/>
  <c r="F50" i="39" s="1"/>
  <c r="F51" i="39" s="1"/>
  <c r="F53" i="39" s="1"/>
  <c r="F61" i="39" s="1"/>
  <c r="F160" i="41" s="1"/>
  <c r="F38" i="39"/>
  <c r="F39" i="39" s="1"/>
  <c r="F40" i="39" s="1"/>
  <c r="F41" i="39" s="1"/>
  <c r="E26" i="39"/>
  <c r="E30" i="39" s="1"/>
  <c r="E150" i="41" s="1"/>
  <c r="E29" i="39"/>
  <c r="E149" i="41" s="1"/>
  <c r="E44" i="39"/>
  <c r="E60" i="39" s="1"/>
  <c r="E159" i="41" s="1"/>
  <c r="E94" i="41" s="1"/>
  <c r="E59" i="39"/>
  <c r="E158" i="41" s="1"/>
  <c r="G20" i="39"/>
  <c r="G21" i="39" s="1"/>
  <c r="G22" i="39" s="1"/>
  <c r="G49" i="39"/>
  <c r="G50" i="39" s="1"/>
  <c r="G51" i="39" s="1"/>
  <c r="G53" i="39" s="1"/>
  <c r="G61" i="39" s="1"/>
  <c r="G160" i="41" s="1"/>
  <c r="G38" i="39"/>
  <c r="G39" i="39" s="1"/>
  <c r="G40" i="39" s="1"/>
  <c r="G41" i="39" s="1"/>
  <c r="G49" i="34"/>
  <c r="G38" i="34"/>
  <c r="G20" i="34"/>
  <c r="F49" i="34"/>
  <c r="F38" i="34"/>
  <c r="F20" i="34"/>
  <c r="C21" i="34"/>
  <c r="C22" i="34" s="1"/>
  <c r="C39" i="34"/>
  <c r="AD4" i="10"/>
  <c r="AC4" i="10"/>
  <c r="C50" i="34" s="1"/>
  <c r="C51" i="34" s="1"/>
  <c r="C53" i="34" s="1"/>
  <c r="C61" i="34" s="1"/>
  <c r="AD84" i="10"/>
  <c r="AC84" i="10"/>
  <c r="AD76" i="10"/>
  <c r="AC76" i="10"/>
  <c r="AD68" i="10"/>
  <c r="AC68" i="10"/>
  <c r="AD60" i="10"/>
  <c r="AC60" i="10"/>
  <c r="AD52" i="10"/>
  <c r="AC52" i="10"/>
  <c r="AD7" i="10"/>
  <c r="AD11" i="10"/>
  <c r="AD15" i="10"/>
  <c r="AD19" i="10"/>
  <c r="AD23" i="10"/>
  <c r="AD27" i="10"/>
  <c r="AD31" i="10"/>
  <c r="AD35" i="10"/>
  <c r="AD39" i="10"/>
  <c r="AD43" i="10"/>
  <c r="AD44" i="10"/>
  <c r="AD47" i="10"/>
  <c r="AD51" i="10"/>
  <c r="AD55" i="10"/>
  <c r="AD59" i="10"/>
  <c r="AD63" i="10"/>
  <c r="AD67" i="10"/>
  <c r="AD71" i="10"/>
  <c r="AD75" i="10"/>
  <c r="AD79" i="10"/>
  <c r="AD83" i="10"/>
  <c r="AD5" i="10"/>
  <c r="AD8" i="10"/>
  <c r="AD36" i="10"/>
  <c r="AD80" i="10"/>
  <c r="AD64" i="10"/>
  <c r="AD56" i="10"/>
  <c r="AD48" i="10"/>
  <c r="AD32" i="10"/>
  <c r="AD28" i="10"/>
  <c r="AD24" i="10"/>
  <c r="AD16" i="10"/>
  <c r="AD81" i="10"/>
  <c r="AD77" i="10"/>
  <c r="AD69" i="10"/>
  <c r="AD65" i="10"/>
  <c r="AD61" i="10"/>
  <c r="AD53" i="10"/>
  <c r="AD49" i="10"/>
  <c r="AD45" i="10"/>
  <c r="AD37" i="10"/>
  <c r="AD33" i="10"/>
  <c r="AD29" i="10"/>
  <c r="AD21" i="10"/>
  <c r="AD17" i="10"/>
  <c r="AD14" i="10"/>
  <c r="AD10" i="10"/>
  <c r="AD6" i="10"/>
  <c r="AD82" i="10"/>
  <c r="AD74" i="10"/>
  <c r="AD70" i="10"/>
  <c r="AD66" i="10"/>
  <c r="AD58" i="10"/>
  <c r="AD54" i="10"/>
  <c r="AD50" i="10"/>
  <c r="AD42" i="10"/>
  <c r="AD38" i="10"/>
  <c r="AD34" i="10"/>
  <c r="AD26" i="10"/>
  <c r="AD22" i="10"/>
  <c r="AD18" i="10"/>
  <c r="C20" i="17" l="1"/>
  <c r="C21" i="17" s="1"/>
  <c r="E93" i="41"/>
  <c r="E93" i="42"/>
  <c r="D165" i="42"/>
  <c r="D103" i="42" s="1"/>
  <c r="E58" i="42"/>
  <c r="E153" i="42"/>
  <c r="F29" i="40"/>
  <c r="F149" i="42" s="1"/>
  <c r="F26" i="40"/>
  <c r="F30" i="40" s="1"/>
  <c r="F150" i="42" s="1"/>
  <c r="F44" i="40"/>
  <c r="F60" i="40" s="1"/>
  <c r="F159" i="42" s="1"/>
  <c r="G59" i="40"/>
  <c r="G158" i="42" s="1"/>
  <c r="C101" i="42"/>
  <c r="C103" i="42"/>
  <c r="E57" i="42"/>
  <c r="E152" i="42"/>
  <c r="C102" i="42"/>
  <c r="G95" i="42"/>
  <c r="E56" i="40"/>
  <c r="E62" i="40" s="1"/>
  <c r="E161" i="42" s="1"/>
  <c r="E164" i="42" s="1"/>
  <c r="E102" i="42" s="1"/>
  <c r="D164" i="42"/>
  <c r="D102" i="42" s="1"/>
  <c r="D96" i="42"/>
  <c r="D166" i="42"/>
  <c r="D104" i="42" s="1"/>
  <c r="G29" i="40"/>
  <c r="G149" i="42" s="1"/>
  <c r="G26" i="40"/>
  <c r="G30" i="40" s="1"/>
  <c r="G150" i="42" s="1"/>
  <c r="G44" i="40"/>
  <c r="G60" i="40" s="1"/>
  <c r="G159" i="42" s="1"/>
  <c r="C104" i="42"/>
  <c r="F59" i="40"/>
  <c r="F158" i="42" s="1"/>
  <c r="E94" i="42"/>
  <c r="F95" i="42"/>
  <c r="E56" i="39"/>
  <c r="E62" i="39" s="1"/>
  <c r="E161" i="41" s="1"/>
  <c r="G59" i="39"/>
  <c r="G158" i="41" s="1"/>
  <c r="G93" i="41" s="1"/>
  <c r="F59" i="39"/>
  <c r="F158" i="41" s="1"/>
  <c r="F93" i="41" s="1"/>
  <c r="G29" i="39"/>
  <c r="G149" i="41" s="1"/>
  <c r="G26" i="39"/>
  <c r="G30" i="39" s="1"/>
  <c r="G150" i="41" s="1"/>
  <c r="G44" i="39"/>
  <c r="G60" i="39" s="1"/>
  <c r="G159" i="41" s="1"/>
  <c r="G94" i="41" s="1"/>
  <c r="F29" i="39"/>
  <c r="F149" i="41" s="1"/>
  <c r="F26" i="39"/>
  <c r="F30" i="39" s="1"/>
  <c r="F150" i="41" s="1"/>
  <c r="F44" i="39"/>
  <c r="F60" i="39" s="1"/>
  <c r="F159" i="41" s="1"/>
  <c r="F94" i="41" s="1"/>
  <c r="C160" i="33"/>
  <c r="C40" i="34"/>
  <c r="C41" i="34" s="1"/>
  <c r="D39" i="34"/>
  <c r="C26" i="34"/>
  <c r="C30" i="34" s="1"/>
  <c r="C29" i="34"/>
  <c r="C149" i="33" s="1"/>
  <c r="C49" i="17"/>
  <c r="C50" i="17" s="1"/>
  <c r="AE13" i="10"/>
  <c r="AD13" i="10"/>
  <c r="D50" i="34" s="1"/>
  <c r="D51" i="34" s="1"/>
  <c r="D53" i="34" s="1"/>
  <c r="D61" i="34" s="1"/>
  <c r="AE46" i="10"/>
  <c r="AD46" i="10"/>
  <c r="AE78" i="10"/>
  <c r="AD78" i="10"/>
  <c r="AE41" i="10"/>
  <c r="AD41" i="10"/>
  <c r="AE73" i="10"/>
  <c r="AD73" i="10"/>
  <c r="AE40" i="10"/>
  <c r="AD40" i="10"/>
  <c r="AE62" i="10"/>
  <c r="AD62" i="10"/>
  <c r="AE25" i="10"/>
  <c r="AD25" i="10"/>
  <c r="AE57" i="10"/>
  <c r="AD57" i="10"/>
  <c r="AE72" i="10"/>
  <c r="AD72" i="10"/>
  <c r="AE30" i="10"/>
  <c r="AD30" i="10"/>
  <c r="D21" i="34" s="1"/>
  <c r="D22" i="34" s="1"/>
  <c r="D26" i="34" s="1"/>
  <c r="AE12" i="10"/>
  <c r="AD12" i="10"/>
  <c r="AE20" i="10"/>
  <c r="AD20" i="10"/>
  <c r="AE9" i="10"/>
  <c r="AD9" i="10"/>
  <c r="C38" i="17"/>
  <c r="C39" i="17" s="1"/>
  <c r="AE75" i="10"/>
  <c r="AE59" i="10"/>
  <c r="AE44" i="10"/>
  <c r="AE31" i="10"/>
  <c r="AE15" i="10"/>
  <c r="AE60" i="10"/>
  <c r="AE18" i="10"/>
  <c r="AE34" i="10"/>
  <c r="AE50" i="10"/>
  <c r="AE66" i="10"/>
  <c r="AE82" i="10"/>
  <c r="AE14" i="10"/>
  <c r="AE29" i="10"/>
  <c r="AE45" i="10"/>
  <c r="AE61" i="10"/>
  <c r="AE77" i="10"/>
  <c r="AE24" i="10"/>
  <c r="AE48" i="10"/>
  <c r="AE80" i="10"/>
  <c r="AE5" i="10"/>
  <c r="AE71" i="10"/>
  <c r="AE55" i="10"/>
  <c r="AE43" i="10"/>
  <c r="AE27" i="10"/>
  <c r="AE11" i="10"/>
  <c r="AE68" i="10"/>
  <c r="AE22" i="10"/>
  <c r="AE38" i="10"/>
  <c r="AE54" i="10"/>
  <c r="AE70" i="10"/>
  <c r="AE6" i="10"/>
  <c r="AE17" i="10"/>
  <c r="AE33" i="10"/>
  <c r="AE49" i="10"/>
  <c r="AE65" i="10"/>
  <c r="AE81" i="10"/>
  <c r="AE28" i="10"/>
  <c r="AE56" i="10"/>
  <c r="AE36" i="10"/>
  <c r="AE83" i="10"/>
  <c r="AE67" i="10"/>
  <c r="AE51" i="10"/>
  <c r="AE39" i="10"/>
  <c r="AE23" i="10"/>
  <c r="AE7" i="10"/>
  <c r="AE76" i="10"/>
  <c r="AE4" i="10"/>
  <c r="AE26" i="10"/>
  <c r="AE42" i="10"/>
  <c r="AE58" i="10"/>
  <c r="AE74" i="10"/>
  <c r="AE10" i="10"/>
  <c r="AE21" i="10"/>
  <c r="AE37" i="10"/>
  <c r="AE53" i="10"/>
  <c r="AE69" i="10"/>
  <c r="AE16" i="10"/>
  <c r="AE32" i="10"/>
  <c r="AE64" i="10"/>
  <c r="AE8" i="10"/>
  <c r="AE79" i="10"/>
  <c r="AE63" i="10"/>
  <c r="AE47" i="10"/>
  <c r="AE35" i="10"/>
  <c r="AE19" i="10"/>
  <c r="AE52" i="10"/>
  <c r="AE84" i="10"/>
  <c r="I152" i="41" l="1"/>
  <c r="I153" i="41"/>
  <c r="E96" i="41"/>
  <c r="I152" i="42"/>
  <c r="I153" i="42"/>
  <c r="F56" i="39"/>
  <c r="F62" i="39" s="1"/>
  <c r="F161" i="41" s="1"/>
  <c r="F96" i="41" s="1"/>
  <c r="F56" i="40"/>
  <c r="F62" i="40" s="1"/>
  <c r="F161" i="42" s="1"/>
  <c r="F166" i="42" s="1"/>
  <c r="F104" i="42" s="1"/>
  <c r="G56" i="40"/>
  <c r="G62" i="40" s="1"/>
  <c r="G161" i="42" s="1"/>
  <c r="G58" i="42"/>
  <c r="G153" i="42"/>
  <c r="G63" i="42" s="1"/>
  <c r="F57" i="42"/>
  <c r="F152" i="42"/>
  <c r="F62" i="42" s="1"/>
  <c r="G57" i="42"/>
  <c r="G152" i="42"/>
  <c r="E163" i="42"/>
  <c r="E96" i="42"/>
  <c r="E166" i="42"/>
  <c r="E165" i="42"/>
  <c r="G93" i="42"/>
  <c r="E63" i="42"/>
  <c r="G94" i="42"/>
  <c r="F58" i="42"/>
  <c r="F153" i="42"/>
  <c r="F63" i="42" s="1"/>
  <c r="F93" i="42"/>
  <c r="E62" i="42"/>
  <c r="F94" i="42"/>
  <c r="G56" i="39"/>
  <c r="G62" i="39" s="1"/>
  <c r="G161" i="41" s="1"/>
  <c r="G96" i="41" s="1"/>
  <c r="C40" i="17"/>
  <c r="C41" i="17" s="1"/>
  <c r="C59" i="17" s="1"/>
  <c r="C150" i="33"/>
  <c r="D160" i="33"/>
  <c r="C95" i="41"/>
  <c r="C165" i="41"/>
  <c r="C166" i="41"/>
  <c r="C163" i="41"/>
  <c r="C164" i="41"/>
  <c r="C22" i="17"/>
  <c r="C29" i="17" s="1"/>
  <c r="C149" i="18" s="1"/>
  <c r="C59" i="34"/>
  <c r="C158" i="33" s="1"/>
  <c r="C44" i="34"/>
  <c r="C60" i="34" s="1"/>
  <c r="C159" i="33" s="1"/>
  <c r="D40" i="34"/>
  <c r="D41" i="34" s="1"/>
  <c r="C57" i="33"/>
  <c r="D29" i="34"/>
  <c r="D30" i="34"/>
  <c r="E39" i="34"/>
  <c r="E21" i="34"/>
  <c r="E22" i="34" s="1"/>
  <c r="E50" i="34"/>
  <c r="E51" i="34" s="1"/>
  <c r="E53" i="34" s="1"/>
  <c r="E61" i="34" s="1"/>
  <c r="C51" i="17"/>
  <c r="C53" i="17" s="1"/>
  <c r="D20" i="17"/>
  <c r="D21" i="17" s="1"/>
  <c r="D22" i="17" s="1"/>
  <c r="D49" i="17"/>
  <c r="D50" i="17" s="1"/>
  <c r="E20" i="17"/>
  <c r="E21" i="17" s="1"/>
  <c r="E22" i="17" s="1"/>
  <c r="E49" i="17"/>
  <c r="E50" i="17" s="1"/>
  <c r="D38" i="17"/>
  <c r="D39" i="17" s="1"/>
  <c r="AF25" i="10"/>
  <c r="AF79" i="10"/>
  <c r="AF21" i="10"/>
  <c r="AF67" i="10"/>
  <c r="AF54" i="10"/>
  <c r="AF29" i="10"/>
  <c r="AF35" i="10"/>
  <c r="AF10" i="10"/>
  <c r="AF81" i="10"/>
  <c r="AF27" i="10"/>
  <c r="AF34" i="10"/>
  <c r="AF19" i="10"/>
  <c r="AF16" i="10"/>
  <c r="AF42" i="10"/>
  <c r="AF7" i="10"/>
  <c r="AF28" i="10"/>
  <c r="AF33" i="10"/>
  <c r="AF11" i="10"/>
  <c r="AF71" i="10"/>
  <c r="AF24" i="10"/>
  <c r="AF50" i="10"/>
  <c r="AF15" i="10"/>
  <c r="AF8" i="10"/>
  <c r="AF69" i="10"/>
  <c r="AF26" i="10"/>
  <c r="AF23" i="10"/>
  <c r="AF83" i="10"/>
  <c r="AF17" i="10"/>
  <c r="AF38" i="10"/>
  <c r="AF5" i="10"/>
  <c r="AF77" i="10"/>
  <c r="AF14" i="10"/>
  <c r="AF31" i="10"/>
  <c r="AF20" i="10"/>
  <c r="AF84" i="10"/>
  <c r="AF47" i="10"/>
  <c r="AF64" i="10"/>
  <c r="AF53" i="10"/>
  <c r="AF74" i="10"/>
  <c r="AF4" i="10"/>
  <c r="AF39" i="10"/>
  <c r="AF36" i="10"/>
  <c r="AF65" i="10"/>
  <c r="AF6" i="10"/>
  <c r="AF22" i="10"/>
  <c r="AF43" i="10"/>
  <c r="AF80" i="10"/>
  <c r="AF61" i="10"/>
  <c r="AF82" i="10"/>
  <c r="AF18" i="10"/>
  <c r="AF59" i="10"/>
  <c r="AF73" i="10"/>
  <c r="AF30" i="10"/>
  <c r="AF62" i="10"/>
  <c r="AF52" i="10"/>
  <c r="AF63" i="10"/>
  <c r="AF32" i="10"/>
  <c r="AF37" i="10"/>
  <c r="AF58" i="10"/>
  <c r="AF76" i="10"/>
  <c r="AF51" i="10"/>
  <c r="AF56" i="10"/>
  <c r="AF49" i="10"/>
  <c r="AF70" i="10"/>
  <c r="AF68" i="10"/>
  <c r="AF55" i="10"/>
  <c r="AF48" i="10"/>
  <c r="AF45" i="10"/>
  <c r="AF66" i="10"/>
  <c r="AF60" i="10"/>
  <c r="AF75" i="10"/>
  <c r="AF41" i="10"/>
  <c r="AF9" i="10"/>
  <c r="AF12" i="10"/>
  <c r="AF40" i="10"/>
  <c r="AF44" i="10"/>
  <c r="AF72" i="10"/>
  <c r="AF57" i="10"/>
  <c r="AF78" i="10"/>
  <c r="AF13" i="10"/>
  <c r="AF46" i="10"/>
  <c r="I166" i="41" l="1"/>
  <c r="I165" i="41"/>
  <c r="I163" i="41"/>
  <c r="I164" i="41"/>
  <c r="G166" i="42"/>
  <c r="G104" i="42" s="1"/>
  <c r="I165" i="42"/>
  <c r="I166" i="42"/>
  <c r="I104" i="42" s="1"/>
  <c r="I164" i="42"/>
  <c r="I163" i="42"/>
  <c r="G62" i="42"/>
  <c r="I62" i="42"/>
  <c r="F165" i="42"/>
  <c r="F103" i="42" s="1"/>
  <c r="F163" i="42"/>
  <c r="F101" i="42" s="1"/>
  <c r="F164" i="42"/>
  <c r="F102" i="42" s="1"/>
  <c r="F96" i="42"/>
  <c r="G164" i="42"/>
  <c r="G102" i="42" s="1"/>
  <c r="G163" i="42"/>
  <c r="G101" i="42" s="1"/>
  <c r="G96" i="42"/>
  <c r="G165" i="42"/>
  <c r="G103" i="42" s="1"/>
  <c r="E104" i="42"/>
  <c r="E101" i="42"/>
  <c r="I63" i="42"/>
  <c r="E103" i="42"/>
  <c r="D40" i="17"/>
  <c r="D41" i="17" s="1"/>
  <c r="C26" i="17"/>
  <c r="C30" i="17" s="1"/>
  <c r="C150" i="18" s="1"/>
  <c r="D149" i="33"/>
  <c r="D57" i="41"/>
  <c r="C102" i="41"/>
  <c r="D150" i="33"/>
  <c r="C101" i="41"/>
  <c r="D95" i="41"/>
  <c r="D165" i="41"/>
  <c r="D103" i="41" s="1"/>
  <c r="D163" i="41"/>
  <c r="D101" i="41" s="1"/>
  <c r="D166" i="41"/>
  <c r="D104" i="41" s="1"/>
  <c r="D164" i="41"/>
  <c r="D102" i="41" s="1"/>
  <c r="E160" i="33"/>
  <c r="C104" i="41"/>
  <c r="C103" i="41"/>
  <c r="C152" i="41"/>
  <c r="C153" i="41"/>
  <c r="C44" i="17"/>
  <c r="C60" i="17" s="1"/>
  <c r="C159" i="18" s="1"/>
  <c r="C56" i="34"/>
  <c r="C62" i="34" s="1"/>
  <c r="C161" i="33" s="1"/>
  <c r="D59" i="34"/>
  <c r="D158" i="33" s="1"/>
  <c r="D44" i="34"/>
  <c r="D60" i="34" s="1"/>
  <c r="D159" i="33" s="1"/>
  <c r="E40" i="34"/>
  <c r="E41" i="34" s="1"/>
  <c r="F39" i="34"/>
  <c r="F21" i="34"/>
  <c r="F22" i="34" s="1"/>
  <c r="F50" i="34"/>
  <c r="F51" i="34" s="1"/>
  <c r="F53" i="34" s="1"/>
  <c r="F61" i="34" s="1"/>
  <c r="C158" i="18"/>
  <c r="C93" i="33"/>
  <c r="E26" i="34"/>
  <c r="E30" i="34" s="1"/>
  <c r="E29" i="34"/>
  <c r="C94" i="33"/>
  <c r="C57" i="18"/>
  <c r="D51" i="17"/>
  <c r="E51" i="17"/>
  <c r="D29" i="17"/>
  <c r="D26" i="17"/>
  <c r="D30" i="17" s="1"/>
  <c r="E29" i="17"/>
  <c r="E26" i="17"/>
  <c r="E30" i="17" s="1"/>
  <c r="F49" i="17"/>
  <c r="F50" i="17" s="1"/>
  <c r="F20" i="17"/>
  <c r="F21" i="17" s="1"/>
  <c r="F22" i="17" s="1"/>
  <c r="E38" i="17"/>
  <c r="E39" i="17" s="1"/>
  <c r="AG4" i="10"/>
  <c r="AG57" i="10"/>
  <c r="AG48" i="10"/>
  <c r="AG41" i="10"/>
  <c r="AG38" i="10"/>
  <c r="AG24" i="10"/>
  <c r="AG33" i="10"/>
  <c r="AG12" i="10"/>
  <c r="AG59" i="10"/>
  <c r="AG42" i="10"/>
  <c r="AG25" i="10"/>
  <c r="AG19" i="10"/>
  <c r="AG9" i="10"/>
  <c r="AG34" i="10"/>
  <c r="AG30" i="10"/>
  <c r="AG77" i="10"/>
  <c r="AG69" i="10"/>
  <c r="AG46" i="10"/>
  <c r="AG29" i="10"/>
  <c r="AG54" i="10"/>
  <c r="AG7" i="10"/>
  <c r="AG79" i="10"/>
  <c r="AG78" i="10"/>
  <c r="AG82" i="10"/>
  <c r="AG22" i="10"/>
  <c r="AG39" i="10"/>
  <c r="AG64" i="10"/>
  <c r="AG5" i="10"/>
  <c r="AG26" i="10"/>
  <c r="AG45" i="10"/>
  <c r="AG76" i="10"/>
  <c r="AG58" i="10"/>
  <c r="AG44" i="10"/>
  <c r="AG61" i="10"/>
  <c r="AG6" i="10"/>
  <c r="AG47" i="10"/>
  <c r="AG27" i="10"/>
  <c r="AG10" i="10"/>
  <c r="AG55" i="10"/>
  <c r="AG32" i="10"/>
  <c r="AG63" i="10"/>
  <c r="AG70" i="10"/>
  <c r="AG73" i="10"/>
  <c r="AG31" i="10"/>
  <c r="AG81" i="10"/>
  <c r="AG20" i="10"/>
  <c r="AG15" i="10"/>
  <c r="AG71" i="10"/>
  <c r="AG28" i="10"/>
  <c r="AG21" i="10"/>
  <c r="AG72" i="10"/>
  <c r="AG80" i="10"/>
  <c r="AG65" i="10"/>
  <c r="AG74" i="10"/>
  <c r="AG84" i="10"/>
  <c r="AG17" i="10"/>
  <c r="AG8" i="10"/>
  <c r="AG62" i="10"/>
  <c r="AG68" i="10"/>
  <c r="AG52" i="10"/>
  <c r="AG51" i="10"/>
  <c r="AG23" i="10"/>
  <c r="AG75" i="10"/>
  <c r="AG50" i="10"/>
  <c r="AG11" i="10"/>
  <c r="AG67" i="10"/>
  <c r="AG16" i="10"/>
  <c r="AG13" i="10"/>
  <c r="AG18" i="10"/>
  <c r="AG43" i="10"/>
  <c r="AG36" i="10"/>
  <c r="AG53" i="10"/>
  <c r="AG14" i="10"/>
  <c r="AG83" i="10"/>
  <c r="AG35" i="10"/>
  <c r="AG40" i="10"/>
  <c r="AG60" i="10"/>
  <c r="AG49" i="10"/>
  <c r="AG56" i="10"/>
  <c r="AG66" i="10"/>
  <c r="AG37" i="10"/>
  <c r="C58" i="18" l="1"/>
  <c r="I101" i="42"/>
  <c r="I103" i="42"/>
  <c r="I102" i="42"/>
  <c r="D59" i="17"/>
  <c r="D158" i="18" s="1"/>
  <c r="D44" i="17"/>
  <c r="D60" i="17" s="1"/>
  <c r="D159" i="18" s="1"/>
  <c r="E40" i="17"/>
  <c r="E41" i="17" s="1"/>
  <c r="C56" i="17"/>
  <c r="C62" i="17" s="1"/>
  <c r="C161" i="18" s="1"/>
  <c r="E149" i="33"/>
  <c r="E57" i="33" s="1"/>
  <c r="E57" i="41"/>
  <c r="E150" i="33"/>
  <c r="C62" i="41"/>
  <c r="E95" i="41"/>
  <c r="E165" i="41"/>
  <c r="E166" i="41"/>
  <c r="E164" i="41"/>
  <c r="E102" i="41" s="1"/>
  <c r="E163" i="41"/>
  <c r="F160" i="33"/>
  <c r="C63" i="41"/>
  <c r="D58" i="41"/>
  <c r="D153" i="41"/>
  <c r="D63" i="41" s="1"/>
  <c r="D152" i="41"/>
  <c r="D62" i="41" s="1"/>
  <c r="E59" i="34"/>
  <c r="E158" i="33" s="1"/>
  <c r="E44" i="34"/>
  <c r="E60" i="34" s="1"/>
  <c r="E159" i="33" s="1"/>
  <c r="F40" i="34"/>
  <c r="F41" i="34" s="1"/>
  <c r="D56" i="34"/>
  <c r="D62" i="34" s="1"/>
  <c r="D161" i="33" s="1"/>
  <c r="G39" i="34"/>
  <c r="G21" i="34"/>
  <c r="G22" i="34" s="1"/>
  <c r="G50" i="34"/>
  <c r="G51" i="34" s="1"/>
  <c r="G53" i="34" s="1"/>
  <c r="G61" i="34" s="1"/>
  <c r="F29" i="34"/>
  <c r="F26" i="34"/>
  <c r="F30" i="34" s="1"/>
  <c r="D93" i="33"/>
  <c r="E149" i="18"/>
  <c r="C152" i="18"/>
  <c r="D94" i="33"/>
  <c r="C96" i="33"/>
  <c r="D149" i="18"/>
  <c r="D57" i="33"/>
  <c r="C153" i="18"/>
  <c r="C63" i="18" s="1"/>
  <c r="E150" i="18"/>
  <c r="E58" i="18" s="1"/>
  <c r="D150" i="18"/>
  <c r="C58" i="33"/>
  <c r="C153" i="33"/>
  <c r="C152" i="33"/>
  <c r="C61" i="17"/>
  <c r="E53" i="17"/>
  <c r="E61" i="17" s="1"/>
  <c r="D53" i="17"/>
  <c r="D61" i="17" s="1"/>
  <c r="F51" i="17"/>
  <c r="F29" i="17"/>
  <c r="F26" i="17"/>
  <c r="F30" i="17" s="1"/>
  <c r="G20" i="17"/>
  <c r="G21" i="17" s="1"/>
  <c r="G22" i="17" s="1"/>
  <c r="G49" i="17"/>
  <c r="G50" i="17" s="1"/>
  <c r="F38" i="17"/>
  <c r="F39" i="17" s="1"/>
  <c r="D57" i="18" l="1"/>
  <c r="C62" i="18"/>
  <c r="D56" i="17"/>
  <c r="D62" i="17" s="1"/>
  <c r="D161" i="18" s="1"/>
  <c r="E44" i="17"/>
  <c r="E60" i="17" s="1"/>
  <c r="E159" i="18" s="1"/>
  <c r="E59" i="17"/>
  <c r="E158" i="18" s="1"/>
  <c r="F40" i="17"/>
  <c r="F41" i="17" s="1"/>
  <c r="F149" i="33"/>
  <c r="F57" i="33" s="1"/>
  <c r="F57" i="41"/>
  <c r="G160" i="33"/>
  <c r="F95" i="41"/>
  <c r="F164" i="41"/>
  <c r="F102" i="41" s="1"/>
  <c r="F163" i="41"/>
  <c r="F101" i="41" s="1"/>
  <c r="F165" i="41"/>
  <c r="F103" i="41" s="1"/>
  <c r="F166" i="41"/>
  <c r="F104" i="41" s="1"/>
  <c r="E104" i="41"/>
  <c r="E103" i="41"/>
  <c r="F150" i="33"/>
  <c r="E101" i="41"/>
  <c r="E58" i="41"/>
  <c r="E153" i="41"/>
  <c r="E63" i="41" s="1"/>
  <c r="E152" i="41"/>
  <c r="F44" i="34"/>
  <c r="F60" i="34" s="1"/>
  <c r="F159" i="33" s="1"/>
  <c r="F59" i="34"/>
  <c r="F158" i="33" s="1"/>
  <c r="G40" i="34"/>
  <c r="G41" i="34" s="1"/>
  <c r="E56" i="34"/>
  <c r="E62" i="34" s="1"/>
  <c r="E161" i="33" s="1"/>
  <c r="E153" i="18"/>
  <c r="E63" i="18" s="1"/>
  <c r="E57" i="18"/>
  <c r="E93" i="33"/>
  <c r="G29" i="34"/>
  <c r="G26" i="34"/>
  <c r="G30" i="34" s="1"/>
  <c r="D96" i="33"/>
  <c r="E94" i="33"/>
  <c r="F149" i="18"/>
  <c r="F57" i="18" s="1"/>
  <c r="E152" i="18"/>
  <c r="E62" i="18" s="1"/>
  <c r="D152" i="18"/>
  <c r="D62" i="18" s="1"/>
  <c r="D153" i="18"/>
  <c r="D63" i="18" s="1"/>
  <c r="D58" i="18"/>
  <c r="C160" i="18"/>
  <c r="D58" i="33"/>
  <c r="D152" i="33"/>
  <c r="D62" i="33" s="1"/>
  <c r="D153" i="33"/>
  <c r="D63" i="33" s="1"/>
  <c r="C62" i="33"/>
  <c r="D160" i="18"/>
  <c r="C63" i="33"/>
  <c r="E58" i="33"/>
  <c r="E152" i="33"/>
  <c r="E62" i="33" s="1"/>
  <c r="E153" i="33"/>
  <c r="E63" i="33" s="1"/>
  <c r="F150" i="18"/>
  <c r="E160" i="18"/>
  <c r="G51" i="17"/>
  <c r="F53" i="17"/>
  <c r="F61" i="17" s="1"/>
  <c r="G29" i="17"/>
  <c r="G26" i="17"/>
  <c r="G30" i="17" s="1"/>
  <c r="G38" i="17"/>
  <c r="G39" i="17" s="1"/>
  <c r="C165" i="18" l="1"/>
  <c r="E56" i="17"/>
  <c r="E62" i="17" s="1"/>
  <c r="E161" i="18" s="1"/>
  <c r="E166" i="18" s="1"/>
  <c r="F59" i="17"/>
  <c r="F158" i="18" s="1"/>
  <c r="F44" i="17"/>
  <c r="F60" i="17" s="1"/>
  <c r="F159" i="18" s="1"/>
  <c r="G40" i="17"/>
  <c r="G41" i="17" s="1"/>
  <c r="G149" i="33"/>
  <c r="G57" i="41"/>
  <c r="E62" i="41"/>
  <c r="F58" i="41"/>
  <c r="F153" i="41"/>
  <c r="F63" i="41" s="1"/>
  <c r="F152" i="41"/>
  <c r="F62" i="41" s="1"/>
  <c r="G150" i="33"/>
  <c r="G95" i="41"/>
  <c r="G164" i="41"/>
  <c r="G166" i="41"/>
  <c r="G165" i="41"/>
  <c r="G163" i="41"/>
  <c r="C163" i="18"/>
  <c r="F56" i="34"/>
  <c r="F62" i="34" s="1"/>
  <c r="F161" i="33" s="1"/>
  <c r="G59" i="34"/>
  <c r="G158" i="33" s="1"/>
  <c r="G44" i="34"/>
  <c r="G60" i="34" s="1"/>
  <c r="G159" i="33" s="1"/>
  <c r="D166" i="18"/>
  <c r="C166" i="18"/>
  <c r="F93" i="33"/>
  <c r="F153" i="18"/>
  <c r="F63" i="18" s="1"/>
  <c r="D163" i="18"/>
  <c r="G149" i="18"/>
  <c r="F94" i="33"/>
  <c r="C164" i="18"/>
  <c r="E96" i="33"/>
  <c r="D165" i="18"/>
  <c r="D164" i="18"/>
  <c r="E95" i="33"/>
  <c r="C95" i="33"/>
  <c r="C163" i="33"/>
  <c r="C164" i="33"/>
  <c r="C166" i="33"/>
  <c r="C165" i="33"/>
  <c r="F160" i="18"/>
  <c r="F58" i="18"/>
  <c r="F58" i="33"/>
  <c r="F153" i="33"/>
  <c r="F63" i="33" s="1"/>
  <c r="F152" i="33"/>
  <c r="F152" i="18"/>
  <c r="F62" i="18" s="1"/>
  <c r="G150" i="18"/>
  <c r="G58" i="18" s="1"/>
  <c r="D95" i="33"/>
  <c r="D165" i="33"/>
  <c r="D103" i="33" s="1"/>
  <c r="D164" i="33"/>
  <c r="D102" i="33" s="1"/>
  <c r="D166" i="33"/>
  <c r="D104" i="33" s="1"/>
  <c r="D163" i="33"/>
  <c r="D101" i="33" s="1"/>
  <c r="G53" i="17"/>
  <c r="G61" i="17" s="1"/>
  <c r="I153" i="18" l="1"/>
  <c r="G57" i="18"/>
  <c r="I152" i="18"/>
  <c r="I62" i="18" s="1"/>
  <c r="I153" i="33"/>
  <c r="G57" i="33"/>
  <c r="I152" i="33"/>
  <c r="G101" i="41"/>
  <c r="F56" i="17"/>
  <c r="F62" i="17" s="1"/>
  <c r="F161" i="18" s="1"/>
  <c r="F165" i="18" s="1"/>
  <c r="G44" i="17"/>
  <c r="G60" i="17" s="1"/>
  <c r="G159" i="18" s="1"/>
  <c r="G59" i="17"/>
  <c r="G158" i="18" s="1"/>
  <c r="I101" i="41"/>
  <c r="G103" i="41"/>
  <c r="I103" i="41"/>
  <c r="G104" i="41"/>
  <c r="I104" i="41"/>
  <c r="G58" i="41"/>
  <c r="G152" i="41"/>
  <c r="G153" i="41"/>
  <c r="G102" i="41"/>
  <c r="I102" i="41"/>
  <c r="G56" i="34"/>
  <c r="G62" i="34" s="1"/>
  <c r="G161" i="33" s="1"/>
  <c r="I166" i="33" s="1"/>
  <c r="G93" i="33"/>
  <c r="E166" i="33"/>
  <c r="E104" i="33" s="1"/>
  <c r="E163" i="18"/>
  <c r="E164" i="18"/>
  <c r="F96" i="33"/>
  <c r="E163" i="33"/>
  <c r="E101" i="33" s="1"/>
  <c r="G94" i="33"/>
  <c r="E164" i="33"/>
  <c r="E102" i="33" s="1"/>
  <c r="E165" i="18"/>
  <c r="E165" i="33"/>
  <c r="E103" i="33" s="1"/>
  <c r="G153" i="18"/>
  <c r="G63" i="18" s="1"/>
  <c r="G160" i="18"/>
  <c r="G152" i="18"/>
  <c r="G58" i="33"/>
  <c r="G152" i="33"/>
  <c r="G62" i="33" s="1"/>
  <c r="G153" i="33"/>
  <c r="G63" i="33" s="1"/>
  <c r="F62" i="33"/>
  <c r="F95" i="33"/>
  <c r="F166" i="33"/>
  <c r="F104" i="33" s="1"/>
  <c r="C102" i="33"/>
  <c r="C103" i="33"/>
  <c r="C101" i="33"/>
  <c r="C104" i="33"/>
  <c r="I165" i="33" l="1"/>
  <c r="I163" i="33"/>
  <c r="I164" i="33"/>
  <c r="I63" i="33"/>
  <c r="I62" i="33"/>
  <c r="G62" i="41"/>
  <c r="G56" i="17"/>
  <c r="G62" i="17" s="1"/>
  <c r="G161" i="18" s="1"/>
  <c r="I164" i="18" s="1"/>
  <c r="I62" i="41"/>
  <c r="G63" i="41"/>
  <c r="I63" i="41"/>
  <c r="F166" i="18"/>
  <c r="F163" i="18"/>
  <c r="F164" i="18"/>
  <c r="F163" i="33"/>
  <c r="F101" i="33" s="1"/>
  <c r="F165" i="33"/>
  <c r="F103" i="33" s="1"/>
  <c r="G96" i="33"/>
  <c r="F164" i="33"/>
  <c r="F102" i="33" s="1"/>
  <c r="I63" i="18"/>
  <c r="G62" i="18"/>
  <c r="G95" i="33"/>
  <c r="I99" i="18"/>
  <c r="B91" i="18"/>
  <c r="B101" i="18"/>
  <c r="B104" i="18"/>
  <c r="B93" i="18"/>
  <c r="B94" i="18"/>
  <c r="B102" i="18"/>
  <c r="B96" i="18"/>
  <c r="E92" i="18"/>
  <c r="B95" i="18"/>
  <c r="D95" i="18"/>
  <c r="C100" i="18"/>
  <c r="B99" i="18"/>
  <c r="C92" i="18"/>
  <c r="D100" i="18"/>
  <c r="B103" i="18"/>
  <c r="F100" i="18"/>
  <c r="F94" i="18"/>
  <c r="G92" i="18"/>
  <c r="D92" i="18"/>
  <c r="G95" i="18"/>
  <c r="F92" i="18"/>
  <c r="F95" i="18"/>
  <c r="E96" i="18"/>
  <c r="F96" i="18"/>
  <c r="G100" i="18"/>
  <c r="E95" i="18"/>
  <c r="E100" i="18"/>
  <c r="G166" i="18" l="1"/>
  <c r="G104" i="18" s="1"/>
  <c r="I166" i="18"/>
  <c r="I104" i="18" s="1"/>
  <c r="I165" i="18"/>
  <c r="I163" i="18"/>
  <c r="G96" i="18"/>
  <c r="G165" i="18"/>
  <c r="G163" i="18"/>
  <c r="G164" i="18"/>
  <c r="I102" i="18" s="1"/>
  <c r="G164" i="33"/>
  <c r="I102" i="33" s="1"/>
  <c r="G163" i="33"/>
  <c r="I101" i="33" s="1"/>
  <c r="G166" i="33"/>
  <c r="G104" i="33" s="1"/>
  <c r="G165" i="33"/>
  <c r="G103" i="33" s="1"/>
  <c r="F93" i="18"/>
  <c r="G93" i="18"/>
  <c r="D93" i="18"/>
  <c r="E93" i="18"/>
  <c r="D104" i="18"/>
  <c r="C101" i="18"/>
  <c r="E102" i="18"/>
  <c r="C104" i="18"/>
  <c r="E104" i="18"/>
  <c r="F101" i="18"/>
  <c r="D102" i="18"/>
  <c r="C102" i="18"/>
  <c r="E103" i="18"/>
  <c r="F104" i="18"/>
  <c r="E101" i="18"/>
  <c r="F102" i="18"/>
  <c r="E94" i="18"/>
  <c r="D101" i="18"/>
  <c r="D96" i="18"/>
  <c r="D94" i="18"/>
  <c r="G94" i="18"/>
  <c r="C95" i="18"/>
  <c r="C94" i="18"/>
  <c r="F103" i="18"/>
  <c r="C103" i="18"/>
  <c r="D103" i="18"/>
  <c r="C96" i="18"/>
  <c r="C93" i="18"/>
  <c r="I101" i="18" l="1"/>
  <c r="I103" i="18"/>
  <c r="G103" i="18"/>
  <c r="G101" i="18"/>
  <c r="G102" i="18"/>
  <c r="G102" i="33"/>
  <c r="G101" i="33"/>
  <c r="I104" i="33"/>
  <c r="I103" i="33"/>
</calcChain>
</file>

<file path=xl/sharedStrings.xml><?xml version="1.0" encoding="utf-8"?>
<sst xmlns="http://schemas.openxmlformats.org/spreadsheetml/2006/main" count="1070" uniqueCount="330">
  <si>
    <t>North Wales</t>
  </si>
  <si>
    <t xml:space="preserve">Mid and South West Wales </t>
  </si>
  <si>
    <t>South East Wales</t>
  </si>
  <si>
    <t xml:space="preserve">Wales </t>
  </si>
  <si>
    <t>Wales</t>
  </si>
  <si>
    <t>Mid and South West</t>
  </si>
  <si>
    <t>North</t>
  </si>
  <si>
    <t>South East</t>
  </si>
  <si>
    <t>Newly Arising Need</t>
  </si>
  <si>
    <t>2018/19</t>
  </si>
  <si>
    <t>2019/20</t>
  </si>
  <si>
    <t>2020/21</t>
  </si>
  <si>
    <t>2021/22</t>
  </si>
  <si>
    <t>2022/23</t>
  </si>
  <si>
    <t>Principal</t>
  </si>
  <si>
    <t>Zero Migration</t>
  </si>
  <si>
    <t>FTB Ratio</t>
  </si>
  <si>
    <t>% that go on to buy</t>
  </si>
  <si>
    <t>PRS Threshold</t>
  </si>
  <si>
    <t>Social Threshold</t>
  </si>
  <si>
    <t>House Prices</t>
  </si>
  <si>
    <t>Rental Prices</t>
  </si>
  <si>
    <t>FTB Enter Market</t>
  </si>
  <si>
    <t>Existing Unmet Need</t>
  </si>
  <si>
    <t>Total</t>
  </si>
  <si>
    <t>Owner Occupier</t>
  </si>
  <si>
    <t>Percentile of income distribution</t>
  </si>
  <si>
    <t>Percentage of newly arising need who can afford</t>
  </si>
  <si>
    <r>
      <t xml:space="preserve">Percentage who can afford </t>
    </r>
    <r>
      <rPr>
        <b/>
        <sz val="11"/>
        <color theme="1"/>
        <rFont val="Calibri"/>
        <family val="2"/>
        <scheme val="minor"/>
      </rPr>
      <t>and</t>
    </r>
    <r>
      <rPr>
        <sz val="11"/>
        <color theme="1"/>
        <rFont val="Calibri"/>
        <family val="2"/>
        <scheme val="minor"/>
      </rPr>
      <t xml:space="preserve"> go on to buy</t>
    </r>
  </si>
  <si>
    <t>Median Private Rent</t>
  </si>
  <si>
    <t>30th Percentile Private Rent</t>
  </si>
  <si>
    <t>Minimum Household Income</t>
  </si>
  <si>
    <t>Social Housing</t>
  </si>
  <si>
    <t>Upper threshold household income</t>
  </si>
  <si>
    <t>Percentage of newly arising need suitable for social</t>
  </si>
  <si>
    <t>Newly Arising Need households</t>
  </si>
  <si>
    <t>Existing Unmet Need households</t>
  </si>
  <si>
    <t>Total households suitable for social rent</t>
  </si>
  <si>
    <t>Intermediate Housing</t>
  </si>
  <si>
    <t>Households not currently assigned</t>
  </si>
  <si>
    <t>PRS</t>
  </si>
  <si>
    <t>Default</t>
  </si>
  <si>
    <t>Variable</t>
  </si>
  <si>
    <t>Dropdown Selection</t>
  </si>
  <si>
    <t>Description</t>
  </si>
  <si>
    <t>Percentile FTB Enter Market</t>
  </si>
  <si>
    <t>Percentile</t>
  </si>
  <si>
    <t>User income distribution</t>
  </si>
  <si>
    <t>User Income Distribution</t>
  </si>
  <si>
    <t>Other</t>
  </si>
  <si>
    <t>Yearly Set Values</t>
  </si>
  <si>
    <t>Data Sources</t>
  </si>
  <si>
    <t>Household Projections</t>
  </si>
  <si>
    <t>Income Distribution</t>
  </si>
  <si>
    <t>House Price Distribution</t>
  </si>
  <si>
    <t>Time to clear backlog</t>
  </si>
  <si>
    <t>5 Year Forecasts</t>
  </si>
  <si>
    <t>Change to Median Household Income</t>
  </si>
  <si>
    <t>Change to Distribution of Household Income</t>
  </si>
  <si>
    <t>Change to house prices</t>
  </si>
  <si>
    <t>Change to rental prices</t>
  </si>
  <si>
    <t>1. Change to median household income</t>
  </si>
  <si>
    <t>User forecasts</t>
  </si>
  <si>
    <t>Greater Inequality</t>
  </si>
  <si>
    <t>No Change</t>
  </si>
  <si>
    <t>User Forecasts</t>
  </si>
  <si>
    <t>2. Change to distribution of household income</t>
  </si>
  <si>
    <t>Income</t>
  </si>
  <si>
    <t>3. Change to house prices</t>
  </si>
  <si>
    <t>4. Change to private rental prices</t>
  </si>
  <si>
    <t>Geography</t>
  </si>
  <si>
    <t>Higher Variant</t>
  </si>
  <si>
    <t>Lower Variant</t>
  </si>
  <si>
    <t>Ten Year Migration</t>
  </si>
  <si>
    <t>WG Estimates</t>
  </si>
  <si>
    <t>User Estimates</t>
  </si>
  <si>
    <t>…of which Concealed and Overcrowded Households</t>
  </si>
  <si>
    <t>…of which Homeless Households in Temporary Accommodation</t>
  </si>
  <si>
    <t>Years to clear backlog:</t>
  </si>
  <si>
    <t>Issue?</t>
  </si>
  <si>
    <t>Blank?</t>
  </si>
  <si>
    <t>Chosen Income Distribution (either WG or User)</t>
  </si>
  <si>
    <t>WG Rent Data</t>
  </si>
  <si>
    <t>User Value</t>
  </si>
  <si>
    <t>Default (1)</t>
  </si>
  <si>
    <t>Default (2)</t>
  </si>
  <si>
    <t>User house price distribution</t>
  </si>
  <si>
    <t>Default House Price Distribution (Wales)</t>
  </si>
  <si>
    <t>User House Price Distribution</t>
  </si>
  <si>
    <t>Chosen House Price Distribution (either WG or User)</t>
  </si>
  <si>
    <t>30th Percentile</t>
  </si>
  <si>
    <t>Median</t>
  </si>
  <si>
    <t>Figure to be used:</t>
  </si>
  <si>
    <t>Commentary</t>
  </si>
  <si>
    <t>Default data used</t>
  </si>
  <si>
    <t>User data entered</t>
  </si>
  <si>
    <t xml:space="preserve">Please enter user data on sheet: </t>
  </si>
  <si>
    <t>Complete?</t>
  </si>
  <si>
    <t xml:space="preserve"> The underlying estimates of additional housing units are based on </t>
  </si>
  <si>
    <t xml:space="preserve"> The house price data is based on</t>
  </si>
  <si>
    <t>and private rental data is based on</t>
  </si>
  <si>
    <t xml:space="preserve">, and an estimate of </t>
  </si>
  <si>
    <t>Please choose from dropdown selection</t>
  </si>
  <si>
    <t>User value (no default)</t>
  </si>
  <si>
    <t>Useful links to other sheets:</t>
  </si>
  <si>
    <t>Instructions/Check</t>
  </si>
  <si>
    <r>
      <t xml:space="preserve">Please complete the </t>
    </r>
    <r>
      <rPr>
        <b/>
        <sz val="10"/>
        <color theme="8" tint="-0.249977111117893"/>
        <rFont val="Arial"/>
        <family val="2"/>
      </rPr>
      <t>BLUE</t>
    </r>
    <r>
      <rPr>
        <sz val="10"/>
        <color theme="1"/>
        <rFont val="Arial"/>
        <family val="2"/>
      </rPr>
      <t xml:space="preserve"> boxes and follow any instructions in the Instructions/Check column.</t>
    </r>
  </si>
  <si>
    <t>Data Sources (2 tenure split)</t>
  </si>
  <si>
    <t>5 Year Forecasts (2 tenure split)</t>
  </si>
  <si>
    <t>Data Sources (4 tenure split)</t>
  </si>
  <si>
    <t>Set Yearly Assumptions (4 tenure split)</t>
  </si>
  <si>
    <t>5 Year Forecasts (4 tenure split)</t>
  </si>
  <si>
    <t>Minus those that go on to buy (for 4 tenure split)</t>
  </si>
  <si>
    <t>Market Housing</t>
  </si>
  <si>
    <t>Affordable Housing</t>
  </si>
  <si>
    <t>Estimated 4 Tenure Split - Wales (based on user assumptions)</t>
  </si>
  <si>
    <t>Proportional 4 Tenure Split - Wales (based on user assumptions)</t>
  </si>
  <si>
    <t>Estimates - 4 Tenure Split</t>
  </si>
  <si>
    <t>Error Checking - 2 Tenure Variables</t>
  </si>
  <si>
    <t>Overall issue - 2 Tenure</t>
  </si>
  <si>
    <t>Error Checking - 4 Tenure Variables</t>
  </si>
  <si>
    <t>4 Tenure</t>
  </si>
  <si>
    <t>Estimates - 2 Tenure Split</t>
  </si>
  <si>
    <t>Estimated 2 Tenure Split - Wales (based on user assumptions)</t>
  </si>
  <si>
    <t>Proportional 2 Tenure Split - Wales (based on user assumptions)</t>
  </si>
  <si>
    <t>Final Paragraph - 2 Tenure</t>
  </si>
  <si>
    <t>The below figures split the estimates of housing need into two tenures and are based on the following assumptions.</t>
  </si>
  <si>
    <t xml:space="preserve"> Income data is based on</t>
  </si>
  <si>
    <t>Following on from above, the estimates are further split into four tenures. These estimates are produced by the user and are based on the following assumptions.</t>
  </si>
  <si>
    <t>Final Paragraph - 4 Tenure</t>
  </si>
  <si>
    <t>Total newly arising households that can afford market</t>
  </si>
  <si>
    <t>Remaining households who can't afford market</t>
  </si>
  <si>
    <t>NOTE: IF YOU HAVE NOT COMPLETED THE DROPDOWN OPTIONS, ERRORS WILL OCCUR BELOW.</t>
  </si>
  <si>
    <t>Private Rented Sector</t>
  </si>
  <si>
    <t>Wales Total</t>
  </si>
  <si>
    <t>Instructions/Check/Note</t>
  </si>
  <si>
    <t>Please make a selection on sheet Tenure Split (WALES)</t>
  </si>
  <si>
    <t>Mid and South West Wales</t>
  </si>
  <si>
    <t>Annual Median Rent</t>
  </si>
  <si>
    <t>Annual 30th Percentile Rent</t>
  </si>
  <si>
    <t>Default House Price Distribution (North Wales)</t>
  </si>
  <si>
    <t>The selections made in sheet: Tenure Split (WALES) are carried through to the regional sheets. If you have selected to use your own data and have not filled in regional data where needed you will be prompted to do so.</t>
  </si>
  <si>
    <t>Geographical Level:</t>
  </si>
  <si>
    <t>Default House Price Distribution (Mid and South West Wales)</t>
  </si>
  <si>
    <t>Default House Price Distribution (South East Wales)</t>
  </si>
  <si>
    <t>Estimated 2 Tenure Split - Mid and South West Wales (based on user assumptions)</t>
  </si>
  <si>
    <t>Proportional 2 Tenure Split - Mid and South West Wales (based on user assumptions)</t>
  </si>
  <si>
    <t>Estimated 4 Tenure Split - Mid and South West Wales (based on user assumptions)</t>
  </si>
  <si>
    <t>Proportional 4 Tenure Split - Mid and South West Wales (based on user assumptions)</t>
  </si>
  <si>
    <t>Estimated 2 Tenure Split - South East Wales (based on user assumptions)</t>
  </si>
  <si>
    <t>Proportional 2 Tenure Split - South East Wales (based on user assumptions)</t>
  </si>
  <si>
    <t>Estimated 4 Tenure Split - South East Wales (based on user assumptions)</t>
  </si>
  <si>
    <t>Proportional 4 Tenure Split - South East Wales (based on user assumptions)</t>
  </si>
  <si>
    <t>Summary of User Chosen Assumptions - WALES</t>
  </si>
  <si>
    <t>Summary of User Chosen Assumptions - North Wales</t>
  </si>
  <si>
    <t>Summary of User Chosen Assumptions Mid and South West Wales</t>
  </si>
  <si>
    <t>Summary of User Chosen Assumptions South East Wales</t>
  </si>
  <si>
    <t>Household Income</t>
  </si>
  <si>
    <t>Private Rental Prices</t>
  </si>
  <si>
    <t>Affordabilty Criteria (Market)</t>
  </si>
  <si>
    <t>Years to clear backlog</t>
  </si>
  <si>
    <t>FTB Income Ratio</t>
  </si>
  <si>
    <t>FTB that go on to buy (there is no default)</t>
  </si>
  <si>
    <t>Affordabilty Criteria (Social)</t>
  </si>
  <si>
    <r>
      <t xml:space="preserve">These variables are required to produce estimates split into </t>
    </r>
    <r>
      <rPr>
        <b/>
        <sz val="10"/>
        <color theme="1"/>
        <rFont val="Arial"/>
        <family val="2"/>
      </rPr>
      <t>two tenures</t>
    </r>
    <r>
      <rPr>
        <sz val="10"/>
        <color theme="1"/>
        <rFont val="Arial"/>
        <family val="2"/>
      </rPr>
      <t xml:space="preserve"> (market and affordable). 
Sheet 'Variable Guidance' gives full definitions.</t>
    </r>
  </si>
  <si>
    <t>FTB that go on to buy</t>
  </si>
  <si>
    <t>Affordability Criteria (Market)</t>
  </si>
  <si>
    <t>Affordability Criteria (Social)</t>
  </si>
  <si>
    <t>Growth to Household Income</t>
  </si>
  <si>
    <t>Change to distribution of income</t>
  </si>
  <si>
    <t>Growth to House Prices</t>
  </si>
  <si>
    <t>Growth to Private Rental Prices</t>
  </si>
  <si>
    <t>Estimated 2 Tenure Split - North Wales (based on user assumptions)</t>
  </si>
  <si>
    <t>Proportional 2 Tenure Split - North Wales (based on user assumptions)</t>
  </si>
  <si>
    <t>Default Income Distribution - North Wales</t>
  </si>
  <si>
    <t>User income distribution - North Wales</t>
  </si>
  <si>
    <t>Default Income Distribution - Mid and South West Wales</t>
  </si>
  <si>
    <t>User income distribution - Mid and South West Wales</t>
  </si>
  <si>
    <t>Default Income Distribution - South East Wales</t>
  </si>
  <si>
    <t>User income distribution - South East Wales</t>
  </si>
  <si>
    <t>User Tool: Estimates of Housing Need in Wales by Tenure (2018-based)</t>
  </si>
  <si>
    <t>Publication Date:</t>
  </si>
  <si>
    <t>Instructions</t>
  </si>
  <si>
    <t xml:space="preserve">These variables are required to produce estimates split into two tenures (market and affordable). </t>
  </si>
  <si>
    <t>Description of Variable</t>
  </si>
  <si>
    <t>Comments on Default Variable</t>
  </si>
  <si>
    <t>Source of Default Variable</t>
  </si>
  <si>
    <t>https://gov.wales/household-projections-local-authorities-2014-based</t>
  </si>
  <si>
    <t>https://gov.wales/housing-need-and-demand-2018-based</t>
  </si>
  <si>
    <t>Estimates of Exisiting Unmet Need are used together with Household Projections to estimate the overall need for additional housing units. Existing Unmet Need is defined as the number of households that do not have access to adequate housing and would require an additional housing unit. Those who may be in need of a more appropriate housing that would not require an additional unit are excluded from this analysis</t>
  </si>
  <si>
    <r>
      <t xml:space="preserve">The default estimates of existing unmet need are made up of two aspects: homeless households in temporary accommodation (snapshot at the end of June 2018) and households that are both overcrowded </t>
    </r>
    <r>
      <rPr>
        <i/>
        <sz val="11"/>
        <color theme="1"/>
        <rFont val="Calibri"/>
        <family val="2"/>
        <scheme val="minor"/>
      </rPr>
      <t xml:space="preserve">and </t>
    </r>
    <r>
      <rPr>
        <sz val="11"/>
        <color theme="1"/>
        <rFont val="Calibri"/>
        <family val="2"/>
        <scheme val="minor"/>
      </rPr>
      <t>concealed (2011 Census).</t>
    </r>
  </si>
  <si>
    <t>https://statswales.gov.wales/Catalogue/Housing/Homelessness/Temporary-Accommodation/householdsaccommodatedtemporarily-by-accommodationtype-householdtype
https://www.ons.gov.uk/peoplepopulationandcommunity/housing/adhocs/008905ct08512011census</t>
  </si>
  <si>
    <t>For the purpose of this work household income is defined as gross un-equivalised  household income for all adults living within the household, derived from detailed income questions on the National Survey for Wales 2017. This includes housing related benefit and allowances.</t>
  </si>
  <si>
    <t>The distribution of household income is required (together with the affordability criteria of each tenure) at both a national and regional level to calculate what proportion of newly arising need would be suitable for each housing tenure.</t>
  </si>
  <si>
    <t>Median and 30th percentile private rent data is used at a national and regional level together with household income distribution to establish how many households are suitable for market housing.</t>
  </si>
  <si>
    <t>Private Rent Data collected by Welsh Government rent officers is used at the default. The median and 30th percentile values have been taken from a July 2017 - June 2018.</t>
  </si>
  <si>
    <t>https://gov.wales/private-sector-rents-2017</t>
  </si>
  <si>
    <t>This is the length of time it will take to clear all households that are in existing unmet need.</t>
  </si>
  <si>
    <t>The default assumption is that it will take 5 years to clear the backlog of existing unmet need.  The technical group concluded that it was reasonable to assume that existing need should be cleared within 5 years.</t>
  </si>
  <si>
    <t>To forecast the growth in household income.</t>
  </si>
  <si>
    <t>To forecast the growth in private rented prices</t>
  </si>
  <si>
    <t>To forecast how the distribution of household income will change over time</t>
  </si>
  <si>
    <t>https://obr.uk/download/march-2019-economic-and-fiscal-outlook-supplementary-economy-tables/
(Table 1.6)</t>
  </si>
  <si>
    <t>House prices are required to split those that are suitable for market housing into owner occupier and private rent.</t>
  </si>
  <si>
    <t>This variable is required to split market housing into owner occupiers and private rented. The affordability ratio is how many times their income first time buyers can expect to pay for a house.</t>
  </si>
  <si>
    <t>UK Finance (previously Council for Mortgage Lenders) publish quarterly figures at a Wales level.</t>
  </si>
  <si>
    <t>This variable is used together with the above to determine how much household income is required for FTB to purchase a house.</t>
  </si>
  <si>
    <r>
      <t>Comparing the average price paid by FTB in Wales as published by ONS with the distribution of land registry’s price paid data set, FTB in Wales typically enter the market at the 40</t>
    </r>
    <r>
      <rPr>
        <vertAlign val="superscript"/>
        <sz val="11"/>
        <color theme="1"/>
        <rFont val="Calibri"/>
        <family val="2"/>
        <scheme val="minor"/>
      </rPr>
      <t>th</t>
    </r>
    <r>
      <rPr>
        <sz val="11"/>
        <color theme="1"/>
        <rFont val="Calibri"/>
        <family val="2"/>
        <scheme val="minor"/>
      </rPr>
      <t xml:space="preserve"> percentile.</t>
    </r>
  </si>
  <si>
    <t>The variable takes into account that not all households who could afford to purchase a house (based on the above assumptions) will actually go on to do so, either by choice or circumstance.</t>
  </si>
  <si>
    <t>To split those deemed suitable for affordable rent into social and intermediate rent requires an assumption on what households are suitable for social rent.</t>
  </si>
  <si>
    <t>To forecast the growth in house prices.</t>
  </si>
  <si>
    <t xml:space="preserve">The Office for Budget Responsibility (OBR) produces house price forecasts for the UK. </t>
  </si>
  <si>
    <r>
      <t>No robust evidence has been found in order to make a credible assumption about this variable in Wales.</t>
    </r>
    <r>
      <rPr>
        <sz val="11"/>
        <color theme="1"/>
        <rFont val="Calibri"/>
        <family val="2"/>
        <scheme val="minor"/>
      </rPr>
      <t xml:space="preserve"> Users must enter their own value to view estimates split into four tenures.</t>
    </r>
  </si>
  <si>
    <t>This sheets provides guidance on each of the variables required to produce estimates split by tenure.</t>
  </si>
  <si>
    <t>Variable Guidance</t>
  </si>
  <si>
    <t>All cells where users have an option to select or input data are shaded blue.</t>
  </si>
  <si>
    <t>Description of Sheets</t>
  </si>
  <si>
    <t xml:space="preserve">Name </t>
  </si>
  <si>
    <t>Tenure Split (Wales)</t>
  </si>
  <si>
    <t>Tenure Split (North Wales)</t>
  </si>
  <si>
    <t>Tenure Split (Mid and SW Wales)</t>
  </si>
  <si>
    <t>Tenure Split (SE Wales)</t>
  </si>
  <si>
    <t>Workings - Wales</t>
  </si>
  <si>
    <t>Workings - North Wales</t>
  </si>
  <si>
    <t>Workings - Mid and SW Wales</t>
  </si>
  <si>
    <t>Workings - SE Wales</t>
  </si>
  <si>
    <t>Yearly Assumptions</t>
  </si>
  <si>
    <t>Future Forecasts</t>
  </si>
  <si>
    <t>Income (Wales)</t>
  </si>
  <si>
    <t>Income (North Wales)</t>
  </si>
  <si>
    <t>Income (Mid and SW Wales)</t>
  </si>
  <si>
    <t>Income (SE Wales)</t>
  </si>
  <si>
    <t>House Prices (Wales)</t>
  </si>
  <si>
    <t>House Price (North Wales)</t>
  </si>
  <si>
    <t>House Prices (Mid and SW Wales)</t>
  </si>
  <si>
    <t>House Prices (SE Wales)</t>
  </si>
  <si>
    <t>Statistical Article on Tenure Split of Housing Estimates</t>
  </si>
  <si>
    <t>Statistical Article on Overall Additional Housing Units</t>
  </si>
  <si>
    <t>Useful Links</t>
  </si>
  <si>
    <t>Tenure Split: Market and Affordable Housing</t>
  </si>
  <si>
    <t>Estimates</t>
  </si>
  <si>
    <t>Tenure Split: Owner Occupier, PRS, Intermediate Rent and Social</t>
  </si>
  <si>
    <t>Additional Housing Units</t>
  </si>
  <si>
    <t>First Time Buyer Income Ratio</t>
  </si>
  <si>
    <t>Percentile First Time Buyers Enter Market</t>
  </si>
  <si>
    <t>Lists the variables required to split into tenure, why they are needed and the source of the default variable (if applicable)</t>
  </si>
  <si>
    <t>Allows users to explore the estimates of additional housing units in Wales split by tenure (both 2 tenure split and 4 tenure split)</t>
  </si>
  <si>
    <t>Allows users to explore the estimates of additional housing units in North Wales split by tenure (both 2 tenure split and 4 tenure split)</t>
  </si>
  <si>
    <t>Step by step workings of estimates split by tenure (Wales)</t>
  </si>
  <si>
    <t>Step by step workings of estimates split by tenure (North Wales)</t>
  </si>
  <si>
    <t>Step by step workings of estimates split by tenure (Mid and South West Wales)</t>
  </si>
  <si>
    <t>Step by step workings of estimates split by tenure (South East Wales)</t>
  </si>
  <si>
    <t>All Variants of Household Projections</t>
  </si>
  <si>
    <t>All assumptions that are constant throughout the five year estimate period</t>
  </si>
  <si>
    <t>Variables that require a yearly forecast</t>
  </si>
  <si>
    <t>Median and 30th Percentile Rent Vales for Wales and the Regions</t>
  </si>
  <si>
    <t>Gross household income distribution for Wales</t>
  </si>
  <si>
    <t>Gross household income distribution for North Wales</t>
  </si>
  <si>
    <t>Gross household income distribution for Mid and South West Wales</t>
  </si>
  <si>
    <t>Gross household income distribution for South East Wales</t>
  </si>
  <si>
    <t>Newly Arising Need, derived from household projections</t>
  </si>
  <si>
    <t>Allows users to explore the estimates of additional housing units in Mid and South West Wales split by tenure (both 2 tenure split and 4 tenure split)</t>
  </si>
  <si>
    <t>Contact Details:</t>
  </si>
  <si>
    <t>The estimates that have been produced using the Estimates of Housing Need in Wales by Tenure User Tool are not official figures produced or endorsed by the Welsh Government. Users have the option to overwrite the underlying assumptions to explore what impact the change has on the estimates. These estimates are not housing targets. They are estimates of housing need by tenure given a set of assumptions. When sharing any estimates that have been produced in the tool where users have entered their own assumptions, this must be clearly stated.</t>
  </si>
  <si>
    <t>Disclaimer</t>
  </si>
  <si>
    <t>This sheet holds the default assumptions (as explained in sheet variable guidance) for all variables that remain the same over the period of estimates. If you have chosen to input your own data, you will be prompted under the relevant variables to enter your data. Please refer to the Variable Guidance sheet for more information.</t>
  </si>
  <si>
    <t>This sheet holds the default assumptions (as explained in sheet variable guidance) for those variables which can have a different annual figure. If you have chosen to input your own data, you will be prompted under the relevant variables to enter your data. Please refer to the Variable Guidance sheet for more information.</t>
  </si>
  <si>
    <t>This sheet holds the default assumptions (as explained in sheet variable guidance) for estimates of existing unmet need. If you have chosen to input your own data, you will be prompted under the relevant variables to enter your data. Please refer to the Variable Guidance sheet for more information.</t>
  </si>
  <si>
    <t>Default Income Distribution - Wales</t>
  </si>
  <si>
    <r>
      <t xml:space="preserve">This sheet uses household projections to calculate how many newly arising households there are each year (the difference in household projections from one year to the next). </t>
    </r>
    <r>
      <rPr>
        <b/>
        <sz val="10"/>
        <color theme="1"/>
        <rFont val="Arial"/>
        <family val="2"/>
      </rPr>
      <t>You do not need to enter anything in this sheet.</t>
    </r>
    <r>
      <rPr>
        <sz val="10"/>
        <color theme="1"/>
        <rFont val="Arial"/>
        <family val="2"/>
      </rPr>
      <t xml:space="preserve"> If you have entered your own household projections, newly arising need will be calculated from your data.</t>
    </r>
  </si>
  <si>
    <t>Regional Map</t>
  </si>
  <si>
    <t>Map of the three Welsh economic regions</t>
  </si>
  <si>
    <t xml:space="preserve"> </t>
  </si>
  <si>
    <t>Estimated levels of existing unmet need in Wales and the Regions</t>
  </si>
  <si>
    <t>House price distribution in Wales, July 2017 - June 2018</t>
  </si>
  <si>
    <t>House price distribution in North Wales, July 2017 - June 2018</t>
  </si>
  <si>
    <t>House price distribution in Mid and South West Wales, July 2017 - June 2018</t>
  </si>
  <si>
    <t>House price distribution in South East Wales July 2017 - June 2018</t>
  </si>
  <si>
    <t>Welsh Government's 2014-based Household Projections are used as the default source at both a national and regional level. Users have the option to choose what variant of household projections they use. Full definitions of the different variants can be found in the first statistical article.</t>
  </si>
  <si>
    <t xml:space="preserve">House price data is available through the Land Registry’s price paid data set. </t>
  </si>
  <si>
    <r>
      <t xml:space="preserve">This sheet uses the set assumptions to calculate how many households would be suitable for each housing tenure in each year. The results in this sheet are fed through to the Tenure Split (Wales) sheet. </t>
    </r>
    <r>
      <rPr>
        <b/>
        <sz val="10"/>
        <color theme="1"/>
        <rFont val="Arial"/>
        <family val="2"/>
      </rPr>
      <t>You do not need to enter anything in this sheet.</t>
    </r>
    <r>
      <rPr>
        <sz val="10"/>
        <color theme="1"/>
        <rFont val="Arial"/>
        <family val="2"/>
      </rPr>
      <t xml:space="preserve"> If you have any uncompleted data entries for any variables, errors will occur here.</t>
    </r>
  </si>
  <si>
    <t>Percentage of First Time Buyers that go on to buy</t>
  </si>
  <si>
    <t>This assumption is required in order to calculate (together with median private rent price) the minimum household income required to afford market housing (either private rent or owner-occupier).</t>
  </si>
  <si>
    <t>http://landregistry.data.gov.uk/app/ppd/</t>
  </si>
  <si>
    <r>
      <rPr>
        <b/>
        <sz val="11"/>
        <color theme="1"/>
        <rFont val="Arial"/>
        <family val="2"/>
      </rPr>
      <t xml:space="preserve">Please Note: </t>
    </r>
    <r>
      <rPr>
        <sz val="11"/>
        <color theme="1"/>
        <rFont val="Arial"/>
        <family val="2"/>
      </rPr>
      <t>There may be small differences between the sum of the regional results and the national results under any estimates split by tenure. This is because the regional estimates are calculated using regional data (rental prices, household income) and therefore will differ to the all Wales level.</t>
    </r>
  </si>
  <si>
    <t>Household Projections are used to calculate the annual newly arising need. Newly arising need is defined as the projected number of newly forming households that will require additional housing units for a period in the future.
There are a number of different variants of household projections:
- Principal projections (the basis for the central estimates of housing need)
- Higher variant
- Lower variant
- Ten Year Migration
- Zero Migration</t>
  </si>
  <si>
    <r>
      <t xml:space="preserve">This sheet holds the default assumptions (as explained in sheet variable guidance) for median and 30th percentile rent values. If you have chosen to input your own data, you will be prompted under the relevant variables to enter your data. Please refer to the Variable Guidance sheet for more information. </t>
    </r>
    <r>
      <rPr>
        <b/>
        <sz val="11"/>
        <color theme="1"/>
        <rFont val="Calibri"/>
        <family val="2"/>
        <scheme val="minor"/>
      </rPr>
      <t>Figures refer to 17/18.</t>
    </r>
  </si>
  <si>
    <t>User Projections</t>
  </si>
  <si>
    <t>Land Registry Data</t>
  </si>
  <si>
    <t>OBR (2019 Outlook Supplementary tables, 1.13)</t>
  </si>
  <si>
    <t>OBR (2019 Outlook Supplementary tables, 1.6)</t>
  </si>
  <si>
    <t>OBR (2019 Outlook Supplementary tables, 1.22)</t>
  </si>
  <si>
    <t>Office for Budget Responsibility (OBR) publish forecasts of household income. While the forecast is at a UK level it has been applied at the national and regional level in Wales. The forecast is around 3% growth each year for the five year period.</t>
  </si>
  <si>
    <t>Based on available literature, the default assumption is that over time, there will be greater inequality in the distribution of household income. This means that high income households will increase faster than those of low income households.</t>
  </si>
  <si>
    <t>Office for Budget Responsibility (OBR) published their latest Economic and Fiscal Outlook in March 2019. They state that private rents are assumed to grow in line with their average earnings forecast. While the forecast is at a UK level, it has been applied at the national and regional level in Wales. The forecast is around 3 per cent growth each year for the five year period.</t>
  </si>
  <si>
    <t>https://obr.uk/download/march-2019-economic-and-fiscal-outlook-supplementary-economy-tables/
(Table 1.13)</t>
  </si>
  <si>
    <t>https://www.ukfinance.org.uk/data-and-research/data/mortgages/regional-lending-trends</t>
  </si>
  <si>
    <t>5th June 2019</t>
  </si>
  <si>
    <t>stats.housing@gov.wales</t>
  </si>
  <si>
    <t>Set Yearly Assumptions (2 tenure split)</t>
  </si>
  <si>
    <t>Frist Time Buyer (FTB) Income Ratio</t>
  </si>
  <si>
    <t>Variable required to produce estimates split into two tenures</t>
  </si>
  <si>
    <t>Variables required to produce estimates split into four tenures</t>
  </si>
  <si>
    <t>Notes</t>
  </si>
  <si>
    <t>Local Authority household projections have been summed to reach regional and national level household projections.</t>
  </si>
  <si>
    <t>The data that has been used for this work includes both households that are in receipt of housing benefit as well as student households. These are excluded from the data that is published on StatsWales so the data is not comparable.</t>
  </si>
  <si>
    <t xml:space="preserve">Data correct as of 6th December 2018. </t>
  </si>
  <si>
    <t>Forecasts for financial years have been used which don't directly align with the mid-year to mid-year estimates of additional housing units.</t>
  </si>
  <si>
    <t>No default variable.</t>
  </si>
  <si>
    <t>Households that would spend more than 35% of household income on 30th percentile rent would be suitable for social housing.
As the household income threshold is lowered (e.g. households that spend more than 30% of household income on 30th percentile rent are suitable for social housing), more household will be suitable for social housing.</t>
  </si>
  <si>
    <r>
      <t xml:space="preserve">This tool allows users to explore estimates of housing need in Wales by Tenure, with the option to alter the underlying assumptions and data sources. 
In January 2019, Welsh Government published overall estimates of housing need at a national and regional level covering 20 years (2018/29 to 2037/38). This has been followed by a second publication that splits the first five years of the overall estimates into housing tenure (either market or affordable). Links to these two articles can be found below and provide the neccessary background to this tool.
For the purpose of this work, market and affordable housing are defined as follows:
</t>
    </r>
    <r>
      <rPr>
        <b/>
        <sz val="12"/>
        <color theme="1"/>
        <rFont val="Calibri"/>
        <family val="2"/>
        <scheme val="minor"/>
      </rPr>
      <t xml:space="preserve">Market Housing: </t>
    </r>
    <r>
      <rPr>
        <sz val="12"/>
        <color theme="1"/>
        <rFont val="Calibri"/>
        <family val="2"/>
        <scheme val="minor"/>
      </rPr>
      <t xml:space="preserve">Housing units that are either owner-occupier or rented privately. It includes Help to Buy and Intermediate Low Cost Home Ownership units (eg Homebuy and Shared Ownership).
</t>
    </r>
    <r>
      <rPr>
        <b/>
        <sz val="12"/>
        <color theme="1"/>
        <rFont val="Calibri"/>
        <family val="2"/>
        <scheme val="minor"/>
      </rPr>
      <t xml:space="preserve">Affordable Housing: </t>
    </r>
    <r>
      <rPr>
        <sz val="12"/>
        <color theme="1"/>
        <rFont val="Calibri"/>
        <family val="2"/>
        <scheme val="minor"/>
      </rPr>
      <t xml:space="preserve">Social housing and intermediate rented housing. It excludes intermediate Low Cost Home Ownership units. 
As discussed in the statistical article (link below), this tool also allows users to explore estimates split into four tenures. 
There are separate sheets for each of the geographies (Wales, North Wales, Mid and South West Wales, South East Wales). In the Tenure Split (WALES) sheet, users have the option to change the data sources and underlying assumptions. 
Please read through the </t>
    </r>
    <r>
      <rPr>
        <b/>
        <sz val="12"/>
        <color theme="1"/>
        <rFont val="Calibri"/>
        <family val="2"/>
        <scheme val="minor"/>
      </rPr>
      <t>VARIABLE GUIDANCE</t>
    </r>
    <r>
      <rPr>
        <sz val="12"/>
        <color theme="1"/>
        <rFont val="Calibri"/>
        <family val="2"/>
        <scheme val="minor"/>
      </rPr>
      <t xml:space="preserve"> which will explain how each variable is used and the source of the default variable. Once a selection is made from the blue boxes, instructions will appear to enter data. Once all input data is complete, estimates will appear in the form of charts and tables with some commentary on the chosen assumptions. </t>
    </r>
  </si>
  <si>
    <r>
      <t xml:space="preserve">These additional variables are required to produce estimates split into </t>
    </r>
    <r>
      <rPr>
        <b/>
        <sz val="10"/>
        <color theme="1"/>
        <rFont val="Arial"/>
        <family val="2"/>
      </rPr>
      <t>four tenures</t>
    </r>
    <r>
      <rPr>
        <sz val="10"/>
        <color theme="1"/>
        <rFont val="Arial"/>
        <family val="2"/>
      </rPr>
      <t xml:space="preserve"> (owner occupier, private rent, intermediate and social rent).
Sheet 'Variable Guidance' gives full definitions.</t>
    </r>
  </si>
  <si>
    <t>General Use of the Tool</t>
  </si>
  <si>
    <t>Entering your own data</t>
  </si>
  <si>
    <t>This sheet aims to give some useful tips for using and navigating the tool. If you think additional tips would be useful, please contact us (contact details are on the front page).</t>
  </si>
  <si>
    <t>• If estimates are not appearing, check that there are no red cells showing "N" in the complete column of each tenure split sheet. If there are, follow the text in red to input data or choose the default option (where possible).</t>
  </si>
  <si>
    <t>• To view estimates split into two tenures, you do not have to enter any of your own data.</t>
  </si>
  <si>
    <t xml:space="preserve">• To view estimates split into four tenures, you must enter your own data for the proporiton of first time buyers that go on to buy. </t>
  </si>
  <si>
    <t>• The choices you make on the Tenure Split (WALES) sheet to either use default data, or enter your own, will follow through to the regional sheets. You cannot choose to use the defaults at one geography and enter your own data for another.</t>
  </si>
  <si>
    <t>• You don't have to enter values for all regions for the tool to work. As long as you have inputted data at the Wales level, you will see estimates at the Wales level. The regional sheets will give an incomplete status and remain blank.</t>
  </si>
  <si>
    <t>• Similarly, you don’t have to enter data at the Welsh level for the tool to work. If you are particulary interested in one region, and would like to use your own data, you can do so by choosing on the Wales sheet to do so. Only inputting data at a regional level will give you estimates for that region (the other sheets will remain incompleted and will not display results.</t>
  </si>
  <si>
    <t>• You have the option to use your own data and assumptions. You can replace all the default assumptions and data sources with your own data, use a mixture of default and your own data, or use all default data sources and assumptions.</t>
  </si>
  <si>
    <t>• Cells that are highlighted in blue mean that you can choose from a dropdown box, input data, or click on a button.</t>
  </si>
  <si>
    <t>Understanding the Methodology</t>
  </si>
  <si>
    <t>• For estimates at the Welsh level and the three regions, there is a "Workings" sheet. This breaks the methodology down step by step. There is also a worked example in Annex 4 of the statistical article (link on front page).</t>
  </si>
  <si>
    <t>These additional variables are required to produce estimates split into four tenures (owner occupier, private rent, intermediate rent and social).</t>
  </si>
  <si>
    <t xml:space="preserve">Version: </t>
  </si>
  <si>
    <r>
      <t xml:space="preserve">Households that would spend less than </t>
    </r>
    <r>
      <rPr>
        <sz val="11"/>
        <rFont val="Calibri"/>
        <family val="2"/>
        <scheme val="minor"/>
      </rPr>
      <t>30</t>
    </r>
    <r>
      <rPr>
        <b/>
        <sz val="11"/>
        <rFont val="Calibri"/>
        <family val="2"/>
        <scheme val="minor"/>
      </rPr>
      <t xml:space="preserve">% </t>
    </r>
    <r>
      <rPr>
        <sz val="11"/>
        <color theme="1"/>
        <rFont val="Calibri"/>
        <family val="2"/>
        <scheme val="minor"/>
      </rPr>
      <t>of household income on median private  rent would be suitable for private rent.
As the houshold income threshold is increased (e.g. households who spend less than 35% of household income on median rent would be suitable for private rent), so will the number of households that would be suitable for private rent.</t>
    </r>
  </si>
  <si>
    <t>Overcrowded and concealed data is from a commissioned table from the 2011 Census</t>
  </si>
  <si>
    <t>Note: Household projections for the three Welsh regions are summed to calculate household projections for Wales. There may be small differences (due to rounding) between these figures and those published on StatsWales.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</si>
</sst>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6" formatCode="&quot;£&quot;#,##0;[Red]\-&quot;£&quot;#,##0"/>
    <numFmt numFmtId="44" formatCode="_-&quot;£&quot;* #,##0.00_-;\-&quot;£&quot;* #,##0.00_-;_-&quot;£&quot;* &quot;-&quot;??_-;_-@_-"/>
    <numFmt numFmtId="43" formatCode="_-* #,##0.00_-;\-* #,##0.00_-;_-* &quot;-&quot;??_-;_-@_-"/>
    <numFmt numFmtId="164" formatCode="0.0"/>
    <numFmt numFmtId="165" formatCode="_-* #,##0_-;\-* #,##0_-;_-* &quot;-&quot;??_-;_-@_-"/>
    <numFmt numFmtId="166" formatCode="&quot;£&quot;#,##0"/>
    <numFmt numFmtId="167" formatCode="0.000"/>
    <numFmt numFmtId="168" formatCode="0.0000"/>
    <numFmt numFmtId="169" formatCode="#,##0.0_-;\(#,##0.0\);_-* &quot;-&quot;??_-"/>
    <numFmt numFmtId="170" formatCode="0000"/>
    <numFmt numFmtId="171" formatCode="#,##0,"/>
    <numFmt numFmtId="172" formatCode="&quot;to &quot;0.0000;&quot;to &quot;\-0.0000;&quot;to 0&quot;"/>
    <numFmt numFmtId="173" formatCode="_-[$€-2]* #,##0.00_-;\-[$€-2]* #,##0.00_-;_-[$€-2]* &quot;-&quot;??_-"/>
    <numFmt numFmtId="174" formatCode="#,##0;\-#,##0;\-"/>
    <numFmt numFmtId="175" formatCode="&quot; &quot;General"/>
    <numFmt numFmtId="176" formatCode="[&lt;0.0001]&quot;&lt;0.0001&quot;;0.0000"/>
    <numFmt numFmtId="177" formatCode="#,##0_);;&quot;- &quot;_);@_)\ "/>
    <numFmt numFmtId="178" formatCode="#,##0.0,,;\-#,##0.0,,;\-"/>
    <numFmt numFmtId="179" formatCode="_(General"/>
    <numFmt numFmtId="180" formatCode="#,##0,;\-#,##0,;\-"/>
    <numFmt numFmtId="181" formatCode="0.0%;\-0.0%;\-"/>
    <numFmt numFmtId="182" formatCode="#,##0.0,,;\-#,##0.0,,"/>
    <numFmt numFmtId="183" formatCode="#,##0,;\-#,##0,"/>
    <numFmt numFmtId="184" formatCode="0.0%;\-0.0%"/>
    <numFmt numFmtId="185" formatCode="&quot;£&quot;#,##0.00"/>
  </numFmts>
  <fonts count="13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theme="1"/>
      <name val="Arial"/>
      <family val="2"/>
    </font>
    <font>
      <sz val="10"/>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7"/>
      <name val="Arial"/>
      <family val="2"/>
    </font>
    <font>
      <sz val="10"/>
      <color indexed="10"/>
      <name val="Arial"/>
      <family val="2"/>
    </font>
    <font>
      <sz val="10"/>
      <color rgb="FF000000"/>
      <name val="Arial"/>
      <family val="2"/>
    </font>
    <font>
      <sz val="10"/>
      <color rgb="FFFF0000"/>
      <name val="Arial"/>
      <family val="2"/>
    </font>
    <font>
      <sz val="10"/>
      <name val="MS Sans Serif"/>
      <family val="2"/>
    </font>
    <font>
      <b/>
      <sz val="10"/>
      <color theme="1"/>
      <name val="Arial"/>
      <family val="2"/>
    </font>
    <font>
      <i/>
      <sz val="10"/>
      <name val="Arial"/>
      <family val="2"/>
    </font>
    <font>
      <b/>
      <i/>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12"/>
      <color theme="1"/>
      <name val="Arial"/>
      <family val="2"/>
    </font>
    <font>
      <u/>
      <sz val="10"/>
      <color rgb="FF0000FF"/>
      <name val="Arial"/>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10"/>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b/>
      <sz val="9"/>
      <color indexed="18"/>
      <name val="Arial"/>
      <family val="2"/>
    </font>
    <font>
      <b/>
      <sz val="14"/>
      <color theme="0"/>
      <name val="Calibri"/>
      <family val="2"/>
      <scheme val="minor"/>
    </font>
    <font>
      <b/>
      <sz val="9"/>
      <color indexed="8"/>
      <name val="Arial"/>
      <family val="2"/>
    </font>
    <font>
      <b/>
      <sz val="12"/>
      <color indexed="12"/>
      <name val="Arial"/>
      <family val="2"/>
    </font>
    <font>
      <b/>
      <sz val="15"/>
      <color indexed="62"/>
      <name val="Calibri"/>
      <family val="2"/>
    </font>
    <font>
      <b/>
      <sz val="13"/>
      <color indexed="62"/>
      <name val="Calibri"/>
      <family val="2"/>
    </font>
    <font>
      <b/>
      <sz val="11"/>
      <color indexed="62"/>
      <name val="Calibri"/>
      <family val="2"/>
    </font>
    <font>
      <u/>
      <sz val="10"/>
      <color theme="10"/>
      <name val="Arial"/>
      <family val="2"/>
    </font>
    <font>
      <u/>
      <sz val="10"/>
      <color indexed="12"/>
      <name val="Arial"/>
      <family val="2"/>
    </font>
    <font>
      <u/>
      <sz val="12"/>
      <color theme="10"/>
      <name val="Arial"/>
      <family val="2"/>
    </font>
    <font>
      <u/>
      <sz val="12"/>
      <color indexed="12"/>
      <name val="Arial"/>
      <family val="2"/>
    </font>
    <font>
      <u/>
      <sz val="7.5"/>
      <color indexed="12"/>
      <name val="Arial"/>
      <family val="2"/>
    </font>
    <font>
      <sz val="10"/>
      <color indexed="12"/>
      <name val="Arial"/>
      <family val="2"/>
    </font>
    <font>
      <u/>
      <sz val="10"/>
      <color indexed="12"/>
      <name val="MS Sans Serif"/>
      <family val="2"/>
    </font>
    <font>
      <sz val="11"/>
      <color indexed="62"/>
      <name val="Calibri"/>
      <family val="2"/>
    </font>
    <font>
      <sz val="11"/>
      <color indexed="10"/>
      <name val="Calibri"/>
      <family val="2"/>
    </font>
    <font>
      <sz val="11"/>
      <color indexed="19"/>
      <name val="Calibri"/>
      <family val="2"/>
    </font>
    <font>
      <sz val="12"/>
      <name val="Helv"/>
    </font>
    <font>
      <sz val="12"/>
      <color rgb="FF000000"/>
      <name val="Arial"/>
      <family val="2"/>
    </font>
    <font>
      <sz val="11"/>
      <color indexed="8"/>
      <name val="Calibri"/>
      <family val="2"/>
      <scheme val="minor"/>
    </font>
    <font>
      <sz val="10"/>
      <color rgb="FF000000"/>
      <name val="Courier"/>
      <family val="3"/>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2"/>
      <color indexed="8"/>
      <name val="Arial"/>
      <family val="2"/>
    </font>
    <font>
      <b/>
      <sz val="16"/>
      <color indexed="23"/>
      <name val="Arial"/>
      <family val="2"/>
    </font>
    <font>
      <b/>
      <sz val="8"/>
      <color rgb="FF000000"/>
      <name val="Arial"/>
      <family val="2"/>
    </font>
    <font>
      <sz val="10"/>
      <name val="Tahoma"/>
      <family val="2"/>
    </font>
    <font>
      <sz val="8"/>
      <color rgb="FF000000"/>
      <name val="Arial"/>
      <family val="2"/>
    </font>
    <font>
      <b/>
      <sz val="10"/>
      <name val="Tahoma"/>
      <family val="2"/>
    </font>
    <font>
      <b/>
      <sz val="12"/>
      <color theme="1"/>
      <name val="Calibri"/>
      <family val="2"/>
      <scheme val="minor"/>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8"/>
      <color indexed="62"/>
      <name val="Cambria"/>
      <family val="2"/>
    </font>
    <font>
      <b/>
      <sz val="11"/>
      <color indexed="8"/>
      <name val="Calibri"/>
      <family val="2"/>
    </font>
    <font>
      <sz val="11"/>
      <color rgb="FF000000"/>
      <name val="Calibri"/>
      <family val="2"/>
    </font>
    <font>
      <u/>
      <sz val="11"/>
      <color theme="10"/>
      <name val="Calibri"/>
      <family val="2"/>
      <scheme val="minor"/>
    </font>
    <font>
      <b/>
      <sz val="14"/>
      <color theme="1"/>
      <name val="Calibri"/>
      <family val="2"/>
      <scheme val="minor"/>
    </font>
    <font>
      <i/>
      <sz val="11"/>
      <color rgb="FFFF0000"/>
      <name val="Calibri"/>
      <family val="2"/>
      <scheme val="minor"/>
    </font>
    <font>
      <b/>
      <sz val="18"/>
      <name val="Calibri"/>
      <family val="2"/>
    </font>
    <font>
      <i/>
      <sz val="11"/>
      <color theme="1"/>
      <name val="Calibri"/>
      <family val="2"/>
      <scheme val="minor"/>
    </font>
    <font>
      <sz val="11"/>
      <name val="Calibri"/>
      <family val="2"/>
      <scheme val="minor"/>
    </font>
    <font>
      <i/>
      <sz val="11"/>
      <name val="Calibri"/>
      <family val="2"/>
      <scheme val="minor"/>
    </font>
    <font>
      <sz val="11"/>
      <color theme="1"/>
      <name val="Arial"/>
      <family val="2"/>
    </font>
    <font>
      <b/>
      <sz val="12"/>
      <color theme="1"/>
      <name val="Arial"/>
      <family val="2"/>
    </font>
    <font>
      <i/>
      <sz val="10"/>
      <color theme="1"/>
      <name val="Arial"/>
      <family val="2"/>
    </font>
    <font>
      <b/>
      <i/>
      <sz val="10"/>
      <color rgb="FFFF0000"/>
      <name val="Arial"/>
      <family val="2"/>
    </font>
    <font>
      <i/>
      <sz val="10"/>
      <color rgb="FFFF0000"/>
      <name val="Arial"/>
      <family val="2"/>
    </font>
    <font>
      <b/>
      <sz val="18"/>
      <color theme="1"/>
      <name val="Arial"/>
      <family val="2"/>
    </font>
    <font>
      <b/>
      <sz val="10"/>
      <color theme="8" tint="-0.249977111117893"/>
      <name val="Arial"/>
      <family val="2"/>
    </font>
    <font>
      <b/>
      <sz val="11"/>
      <color theme="1"/>
      <name val="Arial"/>
      <family val="2"/>
    </font>
    <font>
      <b/>
      <sz val="16"/>
      <color theme="1"/>
      <name val="Calibri"/>
      <family val="2"/>
      <scheme val="minor"/>
    </font>
    <font>
      <b/>
      <sz val="20"/>
      <color theme="1"/>
      <name val="Arial"/>
      <family val="2"/>
    </font>
    <font>
      <b/>
      <sz val="11"/>
      <name val="Calibri"/>
      <family val="2"/>
      <scheme val="minor"/>
    </font>
    <font>
      <u/>
      <sz val="11"/>
      <color rgb="FF0000FF"/>
      <name val="Arial"/>
      <family val="2"/>
    </font>
    <font>
      <u/>
      <sz val="11"/>
      <color rgb="FF0000FF"/>
      <name val="Calibri"/>
      <family val="2"/>
      <scheme val="minor"/>
    </font>
    <font>
      <vertAlign val="superscript"/>
      <sz val="11"/>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1"/>
      <color theme="1"/>
      <name val="Calibri"/>
      <family val="2"/>
    </font>
  </fonts>
  <fills count="8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55"/>
        <bgColor indexed="64"/>
      </patternFill>
    </fill>
    <fill>
      <patternFill patternType="solid">
        <fgColor theme="9" tint="0.79998168889431442"/>
        <bgColor indexed="64"/>
      </patternFill>
    </fill>
    <fill>
      <patternFill patternType="solid">
        <fgColor indexed="13"/>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7"/>
        <bgColor indexed="64"/>
      </patternFill>
    </fill>
    <fill>
      <patternFill patternType="solid">
        <fgColor rgb="FF006E5A"/>
        <bgColor indexed="64"/>
      </patternFill>
    </fill>
    <fill>
      <patternFill patternType="solid">
        <fgColor indexed="26"/>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medium">
        <color indexed="8"/>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style="medium">
        <color indexed="8"/>
      </right>
      <top/>
      <bottom style="medium">
        <color indexed="8"/>
      </bottom>
      <diagonal/>
    </border>
    <border>
      <left/>
      <right/>
      <top/>
      <bottom style="medium">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56"/>
      </top>
      <bottom style="double">
        <color indexed="56"/>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22">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18" fillId="0" borderId="0"/>
    <xf numFmtId="43" fontId="20" fillId="0" borderId="0" applyFont="0" applyFill="0" applyBorder="0" applyAlignment="0" applyProtection="0"/>
    <xf numFmtId="44" fontId="20" fillId="0" borderId="0" applyFont="0" applyFill="0" applyBorder="0" applyAlignment="0" applyProtection="0"/>
    <xf numFmtId="0" fontId="20" fillId="0" borderId="0"/>
    <xf numFmtId="0" fontId="19" fillId="0" borderId="0"/>
    <xf numFmtId="3" fontId="20" fillId="0" borderId="0"/>
    <xf numFmtId="9" fontId="20" fillId="0" borderId="0" applyFont="0" applyFill="0" applyBorder="0" applyAlignment="0" applyProtection="0"/>
    <xf numFmtId="9" fontId="24" fillId="0" borderId="0" applyFont="0" applyFill="0" applyBorder="0" applyAlignment="0" applyProtection="0"/>
    <xf numFmtId="0" fontId="19" fillId="0" borderId="0"/>
    <xf numFmtId="44" fontId="20" fillId="0" borderId="0" applyFont="0" applyFill="0" applyBorder="0" applyAlignment="0" applyProtection="0"/>
    <xf numFmtId="0" fontId="19" fillId="0" borderId="0"/>
    <xf numFmtId="0" fontId="20" fillId="0" borderId="0"/>
    <xf numFmtId="0" fontId="19" fillId="0" borderId="0"/>
    <xf numFmtId="0" fontId="30" fillId="0" borderId="0"/>
    <xf numFmtId="0" fontId="20" fillId="0" borderId="0"/>
    <xf numFmtId="0" fontId="34" fillId="0" borderId="1" applyNumberFormat="0" applyFill="0" applyAlignment="0" applyProtection="0"/>
    <xf numFmtId="0" fontId="35" fillId="0" borderId="2" applyNumberFormat="0" applyFill="0" applyAlignment="0" applyProtection="0"/>
    <xf numFmtId="0" fontId="36" fillId="0" borderId="3"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4" applyNumberFormat="0" applyAlignment="0" applyProtection="0"/>
    <xf numFmtId="0" fontId="41" fillId="6" borderId="5" applyNumberFormat="0" applyAlignment="0" applyProtection="0"/>
    <xf numFmtId="0" fontId="42" fillId="6" borderId="4" applyNumberFormat="0" applyAlignment="0" applyProtection="0"/>
    <xf numFmtId="0" fontId="43" fillId="0" borderId="6" applyNumberFormat="0" applyFill="0" applyAlignment="0" applyProtection="0"/>
    <xf numFmtId="0" fontId="44" fillId="7" borderId="7" applyNumberFormat="0" applyAlignment="0" applyProtection="0"/>
    <xf numFmtId="0" fontId="29" fillId="0" borderId="0" applyNumberFormat="0" applyFill="0" applyBorder="0" applyAlignment="0" applyProtection="0"/>
    <xf numFmtId="0" fontId="45" fillId="0" borderId="0" applyNumberFormat="0" applyFill="0" applyBorder="0" applyAlignment="0" applyProtection="0"/>
    <xf numFmtId="0" fontId="31" fillId="0" borderId="9" applyNumberFormat="0" applyFill="0" applyAlignment="0" applyProtection="0"/>
    <xf numFmtId="0" fontId="46"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46" fillId="32" borderId="0" applyNumberFormat="0" applyBorder="0" applyAlignment="0" applyProtection="0"/>
    <xf numFmtId="0" fontId="19" fillId="0" borderId="0"/>
    <xf numFmtId="0" fontId="1" fillId="0" borderId="0"/>
    <xf numFmtId="0" fontId="19" fillId="0" borderId="0"/>
    <xf numFmtId="0" fontId="19"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20" fillId="0" borderId="0" applyFont="0" applyFill="0" applyBorder="0" applyAlignment="0" applyProtection="0"/>
    <xf numFmtId="44" fontId="20" fillId="0" borderId="0" applyFont="0" applyFill="0" applyBorder="0" applyAlignment="0" applyProtection="0"/>
    <xf numFmtId="0" fontId="19" fillId="0" borderId="0"/>
    <xf numFmtId="9" fontId="20" fillId="0" borderId="0" applyFont="0" applyFill="0" applyBorder="0" applyAlignment="0" applyProtection="0"/>
    <xf numFmtId="9" fontId="24" fillId="0" borderId="0" applyFont="0" applyFill="0" applyBorder="0" applyAlignment="0" applyProtection="0"/>
    <xf numFmtId="0" fontId="19" fillId="0" borderId="0"/>
    <xf numFmtId="44" fontId="20" fillId="0" borderId="0" applyFont="0" applyFill="0" applyBorder="0" applyAlignment="0" applyProtection="0"/>
    <xf numFmtId="0" fontId="19" fillId="0" borderId="0"/>
    <xf numFmtId="0" fontId="19" fillId="0" borderId="0"/>
    <xf numFmtId="0" fontId="34" fillId="0" borderId="1" applyNumberFormat="0" applyFill="0" applyAlignment="0" applyProtection="0"/>
    <xf numFmtId="0" fontId="35" fillId="0" borderId="2" applyNumberFormat="0" applyFill="0" applyAlignment="0" applyProtection="0"/>
    <xf numFmtId="0" fontId="36" fillId="0" borderId="3"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4" applyNumberFormat="0" applyAlignment="0" applyProtection="0"/>
    <xf numFmtId="0" fontId="41" fillId="6" borderId="5" applyNumberFormat="0" applyAlignment="0" applyProtection="0"/>
    <xf numFmtId="0" fontId="42" fillId="6" borderId="4" applyNumberFormat="0" applyAlignment="0" applyProtection="0"/>
    <xf numFmtId="0" fontId="43" fillId="0" borderId="6" applyNumberFormat="0" applyFill="0" applyAlignment="0" applyProtection="0"/>
    <xf numFmtId="0" fontId="44" fillId="7" borderId="7" applyNumberFormat="0" applyAlignment="0" applyProtection="0"/>
    <xf numFmtId="0" fontId="29" fillId="0" borderId="0" applyNumberFormat="0" applyFill="0" applyBorder="0" applyAlignment="0" applyProtection="0"/>
    <xf numFmtId="0" fontId="45" fillId="0" borderId="0" applyNumberFormat="0" applyFill="0" applyBorder="0" applyAlignment="0" applyProtection="0"/>
    <xf numFmtId="0" fontId="31" fillId="0" borderId="9" applyNumberFormat="0" applyFill="0" applyAlignment="0" applyProtection="0"/>
    <xf numFmtId="0" fontId="46"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46" fillId="32" borderId="0" applyNumberFormat="0" applyBorder="0" applyAlignment="0" applyProtection="0"/>
    <xf numFmtId="0" fontId="19" fillId="0" borderId="0"/>
    <xf numFmtId="0" fontId="1" fillId="0" borderId="0"/>
    <xf numFmtId="0" fontId="19" fillId="0" borderId="0"/>
    <xf numFmtId="0" fontId="19" fillId="8" borderId="8" applyNumberFormat="0" applyFont="0" applyAlignment="0" applyProtection="0"/>
    <xf numFmtId="0" fontId="48" fillId="0" borderId="0" applyNumberFormat="0" applyFill="0" applyBorder="0" applyAlignment="0" applyProtection="0"/>
    <xf numFmtId="0" fontId="24" fillId="0" borderId="0"/>
    <xf numFmtId="9"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49" fillId="0" borderId="23" applyNumberFormat="0" applyFill="0" applyProtection="0">
      <alignment horizontal="center"/>
    </xf>
    <xf numFmtId="164" fontId="20" fillId="0" borderId="0" applyFont="0" applyFill="0" applyBorder="0" applyProtection="0">
      <alignment horizontal="right"/>
    </xf>
    <xf numFmtId="164" fontId="20" fillId="0" borderId="0" applyFont="0" applyFill="0" applyBorder="0" applyProtection="0">
      <alignment horizontal="right"/>
    </xf>
    <xf numFmtId="0" fontId="1" fillId="10" borderId="0" applyNumberFormat="0" applyBorder="0" applyAlignment="0" applyProtection="0"/>
    <xf numFmtId="0" fontId="50" fillId="41" borderId="0" applyNumberFormat="0" applyBorder="0" applyAlignment="0" applyProtection="0"/>
    <xf numFmtId="0" fontId="1" fillId="14" borderId="0" applyNumberFormat="0" applyBorder="0" applyAlignment="0" applyProtection="0"/>
    <xf numFmtId="0" fontId="50" fillId="42" borderId="0" applyNumberFormat="0" applyBorder="0" applyAlignment="0" applyProtection="0"/>
    <xf numFmtId="0" fontId="1" fillId="18" borderId="0" applyNumberFormat="0" applyBorder="0" applyAlignment="0" applyProtection="0"/>
    <xf numFmtId="0" fontId="50" fillId="43" borderId="0" applyNumberFormat="0" applyBorder="0" applyAlignment="0" applyProtection="0"/>
    <xf numFmtId="0" fontId="1" fillId="22" borderId="0" applyNumberFormat="0" applyBorder="0" applyAlignment="0" applyProtection="0"/>
    <xf numFmtId="0" fontId="50" fillId="44" borderId="0" applyNumberFormat="0" applyBorder="0" applyAlignment="0" applyProtection="0"/>
    <xf numFmtId="0" fontId="1" fillId="26" borderId="0" applyNumberFormat="0" applyBorder="0" applyAlignment="0" applyProtection="0"/>
    <xf numFmtId="0" fontId="50" fillId="45" borderId="0" applyNumberFormat="0" applyBorder="0" applyAlignment="0" applyProtection="0"/>
    <xf numFmtId="0" fontId="1" fillId="30" borderId="0" applyNumberFormat="0" applyBorder="0" applyAlignment="0" applyProtection="0"/>
    <xf numFmtId="0" fontId="50" fillId="43" borderId="0" applyNumberFormat="0" applyBorder="0" applyAlignment="0" applyProtection="0"/>
    <xf numFmtId="167" fontId="20" fillId="0" borderId="0" applyFont="0" applyFill="0" applyBorder="0" applyProtection="0">
      <alignment horizontal="right"/>
    </xf>
    <xf numFmtId="167" fontId="20" fillId="0" borderId="0" applyFont="0" applyFill="0" applyBorder="0" applyProtection="0">
      <alignment horizontal="right"/>
    </xf>
    <xf numFmtId="0" fontId="1" fillId="11" borderId="0" applyNumberFormat="0" applyBorder="0" applyAlignment="0" applyProtection="0"/>
    <xf numFmtId="0" fontId="50" fillId="45" borderId="0" applyNumberFormat="0" applyBorder="0" applyAlignment="0" applyProtection="0"/>
    <xf numFmtId="0" fontId="1" fillId="15" borderId="0" applyNumberFormat="0" applyBorder="0" applyAlignment="0" applyProtection="0"/>
    <xf numFmtId="0" fontId="50" fillId="42" borderId="0" applyNumberFormat="0" applyBorder="0" applyAlignment="0" applyProtection="0"/>
    <xf numFmtId="0" fontId="1" fillId="19" borderId="0" applyNumberFormat="0" applyBorder="0" applyAlignment="0" applyProtection="0"/>
    <xf numFmtId="0" fontId="50" fillId="46" borderId="0" applyNumberFormat="0" applyBorder="0" applyAlignment="0" applyProtection="0"/>
    <xf numFmtId="0" fontId="1" fillId="23" borderId="0" applyNumberFormat="0" applyBorder="0" applyAlignment="0" applyProtection="0"/>
    <xf numFmtId="0" fontId="50" fillId="47" borderId="0" applyNumberFormat="0" applyBorder="0" applyAlignment="0" applyProtection="0"/>
    <xf numFmtId="0" fontId="1" fillId="27" borderId="0" applyNumberFormat="0" applyBorder="0" applyAlignment="0" applyProtection="0"/>
    <xf numFmtId="0" fontId="50" fillId="45" borderId="0" applyNumberFormat="0" applyBorder="0" applyAlignment="0" applyProtection="0"/>
    <xf numFmtId="0" fontId="1" fillId="31" borderId="0" applyNumberFormat="0" applyBorder="0" applyAlignment="0" applyProtection="0"/>
    <xf numFmtId="0" fontId="50" fillId="43" borderId="0" applyNumberFormat="0" applyBorder="0" applyAlignment="0" applyProtection="0"/>
    <xf numFmtId="168" fontId="20" fillId="0" borderId="0" applyFont="0" applyFill="0" applyBorder="0" applyProtection="0">
      <alignment horizontal="right"/>
    </xf>
    <xf numFmtId="168" fontId="20" fillId="0" borderId="0" applyFont="0" applyFill="0" applyBorder="0" applyProtection="0">
      <alignment horizontal="right"/>
    </xf>
    <xf numFmtId="0" fontId="17" fillId="12" borderId="0" applyNumberFormat="0" applyBorder="0" applyAlignment="0" applyProtection="0"/>
    <xf numFmtId="0" fontId="51" fillId="45" borderId="0" applyNumberFormat="0" applyBorder="0" applyAlignment="0" applyProtection="0"/>
    <xf numFmtId="0" fontId="17" fillId="16" borderId="0" applyNumberFormat="0" applyBorder="0" applyAlignment="0" applyProtection="0"/>
    <xf numFmtId="0" fontId="51" fillId="48" borderId="0" applyNumberFormat="0" applyBorder="0" applyAlignment="0" applyProtection="0"/>
    <xf numFmtId="0" fontId="17" fillId="20" borderId="0" applyNumberFormat="0" applyBorder="0" applyAlignment="0" applyProtection="0"/>
    <xf numFmtId="0" fontId="51" fillId="49" borderId="0" applyNumberFormat="0" applyBorder="0" applyAlignment="0" applyProtection="0"/>
    <xf numFmtId="0" fontId="17" fillId="24" borderId="0" applyNumberFormat="0" applyBorder="0" applyAlignment="0" applyProtection="0"/>
    <xf numFmtId="0" fontId="51" fillId="47" borderId="0" applyNumberFormat="0" applyBorder="0" applyAlignment="0" applyProtection="0"/>
    <xf numFmtId="0" fontId="17" fillId="28" borderId="0" applyNumberFormat="0" applyBorder="0" applyAlignment="0" applyProtection="0"/>
    <xf numFmtId="0" fontId="51" fillId="45" borderId="0" applyNumberFormat="0" applyBorder="0" applyAlignment="0" applyProtection="0"/>
    <xf numFmtId="0" fontId="17" fillId="32" borderId="0" applyNumberFormat="0" applyBorder="0" applyAlignment="0" applyProtection="0"/>
    <xf numFmtId="0" fontId="51" fillId="42" borderId="0" applyNumberFormat="0" applyBorder="0" applyAlignment="0" applyProtection="0"/>
    <xf numFmtId="0" fontId="17" fillId="9" borderId="0" applyNumberFormat="0" applyBorder="0" applyAlignment="0" applyProtection="0"/>
    <xf numFmtId="0" fontId="51" fillId="50" borderId="0" applyNumberFormat="0" applyBorder="0" applyAlignment="0" applyProtection="0"/>
    <xf numFmtId="0" fontId="17" fillId="13" borderId="0" applyNumberFormat="0" applyBorder="0" applyAlignment="0" applyProtection="0"/>
    <xf numFmtId="0" fontId="51" fillId="48" borderId="0" applyNumberFormat="0" applyBorder="0" applyAlignment="0" applyProtection="0"/>
    <xf numFmtId="0" fontId="17" fillId="17" borderId="0" applyNumberFormat="0" applyBorder="0" applyAlignment="0" applyProtection="0"/>
    <xf numFmtId="0" fontId="51" fillId="49" borderId="0" applyNumberFormat="0" applyBorder="0" applyAlignment="0" applyProtection="0"/>
    <xf numFmtId="0" fontId="17" fillId="21" borderId="0" applyNumberFormat="0" applyBorder="0" applyAlignment="0" applyProtection="0"/>
    <xf numFmtId="0" fontId="51" fillId="51" borderId="0" applyNumberFormat="0" applyBorder="0" applyAlignment="0" applyProtection="0"/>
    <xf numFmtId="0" fontId="17" fillId="25" borderId="0" applyNumberFormat="0" applyBorder="0" applyAlignment="0" applyProtection="0"/>
    <xf numFmtId="0" fontId="51" fillId="52" borderId="0" applyNumberFormat="0" applyBorder="0" applyAlignment="0" applyProtection="0"/>
    <xf numFmtId="0" fontId="17" fillId="29" borderId="0" applyNumberFormat="0" applyBorder="0" applyAlignment="0" applyProtection="0"/>
    <xf numFmtId="0" fontId="51" fillId="53" borderId="0" applyNumberFormat="0" applyBorder="0" applyAlignment="0" applyProtection="0"/>
    <xf numFmtId="0" fontId="20" fillId="0" borderId="0" applyNumberFormat="0" applyFill="0" applyBorder="0" applyAlignment="0" applyProtection="0"/>
    <xf numFmtId="0" fontId="52" fillId="0" borderId="0" applyNumberFormat="0" applyFont="0" applyBorder="0" applyAlignment="0">
      <alignment horizontal="left" vertical="center"/>
    </xf>
    <xf numFmtId="0" fontId="7" fillId="3" borderId="0" applyNumberFormat="0" applyBorder="0" applyAlignment="0" applyProtection="0"/>
    <xf numFmtId="0" fontId="53" fillId="54" borderId="0" applyNumberFormat="0" applyBorder="0" applyAlignment="0" applyProtection="0"/>
    <xf numFmtId="169" fontId="20" fillId="0" borderId="0" applyBorder="0"/>
    <xf numFmtId="0" fontId="11" fillId="6" borderId="4" applyNumberFormat="0" applyAlignment="0" applyProtection="0"/>
    <xf numFmtId="0" fontId="54" fillId="55" borderId="24" applyNumberFormat="0" applyAlignment="0" applyProtection="0"/>
    <xf numFmtId="170" fontId="20" fillId="33" borderId="25">
      <alignment horizontal="right" vertical="top"/>
    </xf>
    <xf numFmtId="0" fontId="20" fillId="33" borderId="25">
      <alignment horizontal="left" indent="5"/>
    </xf>
    <xf numFmtId="3" fontId="20" fillId="33" borderId="25">
      <alignment horizontal="right"/>
    </xf>
    <xf numFmtId="3" fontId="20" fillId="33" borderId="25">
      <alignment horizontal="right"/>
    </xf>
    <xf numFmtId="170" fontId="20" fillId="33" borderId="21" applyNumberFormat="0">
      <alignment horizontal="right" vertical="top"/>
    </xf>
    <xf numFmtId="0" fontId="20" fillId="33" borderId="21">
      <alignment horizontal="left" indent="3"/>
    </xf>
    <xf numFmtId="3" fontId="20" fillId="33" borderId="21">
      <alignment horizontal="right"/>
    </xf>
    <xf numFmtId="170" fontId="22" fillId="33" borderId="21" applyNumberFormat="0">
      <alignment horizontal="right" vertical="top"/>
    </xf>
    <xf numFmtId="0" fontId="22" fillId="33" borderId="21">
      <alignment horizontal="left" indent="1"/>
    </xf>
    <xf numFmtId="0" fontId="22" fillId="33" borderId="21">
      <alignment horizontal="right" vertical="top"/>
    </xf>
    <xf numFmtId="0" fontId="22" fillId="33" borderId="21"/>
    <xf numFmtId="171" fontId="22" fillId="33" borderId="21">
      <alignment horizontal="right"/>
    </xf>
    <xf numFmtId="3" fontId="22" fillId="33" borderId="21">
      <alignment horizontal="right"/>
    </xf>
    <xf numFmtId="0" fontId="20" fillId="33" borderId="26" applyFont="0" applyFill="0" applyAlignment="0"/>
    <xf numFmtId="0" fontId="22" fillId="33" borderId="21">
      <alignment horizontal="right" vertical="top"/>
    </xf>
    <xf numFmtId="0" fontId="22" fillId="33" borderId="21">
      <alignment horizontal="left" indent="2"/>
    </xf>
    <xf numFmtId="3" fontId="22" fillId="33" borderId="21">
      <alignment horizontal="right"/>
    </xf>
    <xf numFmtId="170" fontId="20" fillId="33" borderId="21" applyNumberFormat="0">
      <alignment horizontal="right" vertical="top"/>
    </xf>
    <xf numFmtId="0" fontId="20" fillId="33" borderId="21">
      <alignment horizontal="left" indent="3"/>
    </xf>
    <xf numFmtId="3" fontId="20" fillId="33" borderId="21">
      <alignment horizontal="right"/>
    </xf>
    <xf numFmtId="3" fontId="20" fillId="33" borderId="21">
      <alignment horizontal="right"/>
    </xf>
    <xf numFmtId="0" fontId="13" fillId="7" borderId="7" applyNumberFormat="0" applyAlignment="0" applyProtection="0"/>
    <xf numFmtId="0" fontId="55" fillId="56" borderId="27" applyNumberFormat="0" applyAlignment="0" applyProtection="0"/>
    <xf numFmtId="168" fontId="56" fillId="0" borderId="0" applyFont="0" applyFill="0" applyBorder="0" applyProtection="0">
      <alignment horizontal="right"/>
    </xf>
    <xf numFmtId="172" fontId="56" fillId="0" borderId="0" applyFont="0" applyFill="0" applyBorder="0" applyProtection="0">
      <alignment horizontal="left"/>
    </xf>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2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0" fontId="57" fillId="0" borderId="12" applyNumberFormat="0" applyBorder="0" applyAlignment="0" applyProtection="0">
      <alignment horizontal="right" vertical="center"/>
    </xf>
    <xf numFmtId="173" fontId="20" fillId="0" borderId="0" applyFont="0" applyFill="0" applyBorder="0" applyAlignment="0" applyProtection="0"/>
    <xf numFmtId="0" fontId="15" fillId="0" borderId="0" applyNumberFormat="0" applyFill="0" applyBorder="0" applyAlignment="0" applyProtection="0"/>
    <xf numFmtId="0" fontId="58" fillId="0" borderId="0" applyNumberFormat="0" applyFill="0" applyBorder="0" applyAlignment="0" applyProtection="0"/>
    <xf numFmtId="0" fontId="59" fillId="0" borderId="0">
      <alignment horizontal="right"/>
      <protection locked="0"/>
    </xf>
    <xf numFmtId="0" fontId="60" fillId="0" borderId="0">
      <alignment horizontal="left"/>
    </xf>
    <xf numFmtId="0" fontId="61"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0" fontId="6" fillId="2" borderId="0" applyNumberFormat="0" applyBorder="0" applyAlignment="0" applyProtection="0"/>
    <xf numFmtId="0" fontId="62" fillId="45" borderId="0" applyNumberFormat="0" applyBorder="0" applyAlignment="0" applyProtection="0"/>
    <xf numFmtId="38" fontId="21" fillId="34" borderId="0" applyNumberFormat="0" applyBorder="0" applyAlignment="0" applyProtection="0"/>
    <xf numFmtId="0" fontId="63" fillId="57" borderId="28" applyProtection="0">
      <alignment horizontal="right"/>
    </xf>
    <xf numFmtId="0" fontId="64" fillId="58" borderId="0"/>
    <xf numFmtId="0" fontId="65" fillId="57" borderId="0" applyProtection="0">
      <alignment horizontal="left"/>
    </xf>
    <xf numFmtId="0" fontId="3" fillId="0" borderId="1" applyNumberFormat="0" applyFill="0" applyAlignment="0" applyProtection="0"/>
    <xf numFmtId="0" fontId="66" fillId="0" borderId="0">
      <alignment vertical="top" wrapText="1"/>
    </xf>
    <xf numFmtId="0" fontId="66" fillId="0" borderId="0">
      <alignment vertical="top" wrapText="1"/>
    </xf>
    <xf numFmtId="0" fontId="67" fillId="0" borderId="29" applyNumberFormat="0" applyFill="0" applyAlignment="0" applyProtection="0"/>
    <xf numFmtId="0" fontId="66" fillId="0" borderId="0">
      <alignment vertical="top" wrapText="1"/>
    </xf>
    <xf numFmtId="0" fontId="4" fillId="0" borderId="2" applyNumberFormat="0" applyFill="0" applyAlignment="0" applyProtection="0"/>
    <xf numFmtId="0" fontId="68" fillId="0" borderId="30" applyNumberFormat="0" applyFill="0" applyAlignment="0" applyProtection="0"/>
    <xf numFmtId="0" fontId="5" fillId="0" borderId="3" applyNumberFormat="0" applyFill="0" applyAlignment="0" applyProtection="0"/>
    <xf numFmtId="0" fontId="69" fillId="0" borderId="31" applyNumberFormat="0" applyFill="0" applyAlignment="0" applyProtection="0"/>
    <xf numFmtId="0" fontId="5" fillId="0" borderId="0" applyNumberFormat="0" applyFill="0" applyBorder="0" applyAlignment="0" applyProtection="0"/>
    <xf numFmtId="0" fontId="69" fillId="0" borderId="0" applyNumberFormat="0" applyFill="0" applyBorder="0" applyAlignment="0" applyProtection="0"/>
    <xf numFmtId="174" fontId="33" fillId="0" borderId="0" applyNumberFormat="0" applyFill="0" applyAlignment="0" applyProtection="0"/>
    <xf numFmtId="174" fontId="32" fillId="0" borderId="0" applyNumberFormat="0" applyFill="0" applyAlignment="0" applyProtection="0"/>
    <xf numFmtId="174" fontId="32" fillId="0" borderId="0" applyNumberFormat="0" applyFont="0" applyFill="0" applyBorder="0" applyAlignment="0" applyProtection="0"/>
    <xf numFmtId="174" fontId="32" fillId="0" borderId="0" applyNumberFormat="0" applyFon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ont="0" applyFill="0" applyBorder="0" applyAlignment="0" applyProtection="0"/>
    <xf numFmtId="0" fontId="76"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alignment vertical="top"/>
      <protection locked="0"/>
    </xf>
    <xf numFmtId="0" fontId="26" fillId="0" borderId="0" applyFill="0" applyBorder="0" applyProtection="0">
      <alignment horizontal="left"/>
    </xf>
    <xf numFmtId="10" fontId="21" fillId="59" borderId="21" applyNumberFormat="0" applyBorder="0" applyAlignment="0" applyProtection="0"/>
    <xf numFmtId="0" fontId="77" fillId="44" borderId="24" applyNumberFormat="0" applyAlignment="0" applyProtection="0"/>
    <xf numFmtId="0" fontId="77" fillId="44" borderId="24" applyNumberFormat="0" applyAlignment="0" applyProtection="0"/>
    <xf numFmtId="0" fontId="77" fillId="44" borderId="24" applyNumberFormat="0" applyAlignment="0" applyProtection="0"/>
    <xf numFmtId="0" fontId="77" fillId="44" borderId="24" applyNumberFormat="0" applyAlignment="0" applyProtection="0"/>
    <xf numFmtId="0" fontId="77" fillId="44" borderId="24" applyNumberFormat="0" applyAlignment="0" applyProtection="0"/>
    <xf numFmtId="0" fontId="77" fillId="44" borderId="24" applyNumberFormat="0" applyAlignment="0" applyProtection="0"/>
    <xf numFmtId="0" fontId="77" fillId="44" borderId="24" applyNumberFormat="0" applyAlignment="0" applyProtection="0"/>
    <xf numFmtId="0" fontId="77" fillId="44" borderId="24" applyNumberFormat="0" applyAlignment="0" applyProtection="0"/>
    <xf numFmtId="0" fontId="77" fillId="44" borderId="24" applyNumberFormat="0" applyAlignment="0" applyProtection="0"/>
    <xf numFmtId="0" fontId="77" fillId="44" borderId="24" applyNumberFormat="0" applyAlignment="0" applyProtection="0"/>
    <xf numFmtId="0" fontId="9" fillId="5" borderId="4" applyNumberFormat="0" applyAlignment="0" applyProtection="0"/>
    <xf numFmtId="0" fontId="77" fillId="46" borderId="24" applyNumberFormat="0" applyAlignment="0" applyProtection="0"/>
    <xf numFmtId="0" fontId="77" fillId="44" borderId="24" applyNumberFormat="0" applyAlignment="0" applyProtection="0"/>
    <xf numFmtId="0" fontId="77" fillId="44" borderId="24" applyNumberFormat="0" applyAlignment="0" applyProtection="0"/>
    <xf numFmtId="0" fontId="77" fillId="44" borderId="24" applyNumberFormat="0" applyAlignment="0" applyProtection="0"/>
    <xf numFmtId="0" fontId="77" fillId="44" borderId="24" applyNumberFormat="0" applyAlignment="0" applyProtection="0"/>
    <xf numFmtId="0" fontId="77" fillId="44" borderId="24" applyNumberFormat="0" applyAlignment="0" applyProtection="0"/>
    <xf numFmtId="0" fontId="77" fillId="44" borderId="24" applyNumberFormat="0" applyAlignment="0" applyProtection="0"/>
    <xf numFmtId="0" fontId="63" fillId="0" borderId="32" applyProtection="0">
      <alignment horizontal="right"/>
    </xf>
    <xf numFmtId="0" fontId="63" fillId="0" borderId="28" applyProtection="0">
      <alignment horizontal="right"/>
    </xf>
    <xf numFmtId="0" fontId="63" fillId="0" borderId="33" applyProtection="0">
      <alignment horizontal="center"/>
      <protection locked="0"/>
    </xf>
    <xf numFmtId="0" fontId="12" fillId="0" borderId="6" applyNumberFormat="0" applyFill="0" applyAlignment="0" applyProtection="0"/>
    <xf numFmtId="0" fontId="78" fillId="0" borderId="34" applyNumberFormat="0" applyFill="0" applyAlignment="0" applyProtection="0"/>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8" fillId="4" borderId="0" applyNumberFormat="0" applyBorder="0" applyAlignment="0" applyProtection="0"/>
    <xf numFmtId="0" fontId="79" fillId="46"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4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75" fillId="0" borderId="0"/>
    <xf numFmtId="0" fontId="1" fillId="0" borderId="0"/>
    <xf numFmtId="0" fontId="1" fillId="0" borderId="0"/>
    <xf numFmtId="0" fontId="47" fillId="0" borderId="0"/>
    <xf numFmtId="0" fontId="75" fillId="0" borderId="0"/>
    <xf numFmtId="0" fontId="75" fillId="0" borderId="0"/>
    <xf numFmtId="0" fontId="24" fillId="0" borderId="0"/>
    <xf numFmtId="0" fontId="24" fillId="0" borderId="0"/>
    <xf numFmtId="0" fontId="75" fillId="0" borderId="0"/>
    <xf numFmtId="0" fontId="20" fillId="0" borderId="0"/>
    <xf numFmtId="0" fontId="24" fillId="0" borderId="0"/>
    <xf numFmtId="0" fontId="47" fillId="0" borderId="0"/>
    <xf numFmtId="0" fontId="1" fillId="0" borderId="0"/>
    <xf numFmtId="0" fontId="81" fillId="0" borderId="0" applyNumberFormat="0" applyFont="0" applyBorder="0" applyProtection="0"/>
    <xf numFmtId="0" fontId="20" fillId="0" borderId="0"/>
    <xf numFmtId="0" fontId="1" fillId="0" borderId="0"/>
    <xf numFmtId="0" fontId="20" fillId="0" borderId="0"/>
    <xf numFmtId="0" fontId="47" fillId="0" borderId="0"/>
    <xf numFmtId="0" fontId="82" fillId="0" borderId="0"/>
    <xf numFmtId="0" fontId="20" fillId="0" borderId="0" applyNumberFormat="0" applyFill="0" applyBorder="0" applyAlignment="0" applyProtection="0"/>
    <xf numFmtId="0" fontId="20" fillId="0" borderId="0" applyNumberFormat="0" applyFill="0" applyBorder="0" applyAlignment="0" applyProtection="0"/>
    <xf numFmtId="0" fontId="4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47" fillId="0" borderId="0"/>
    <xf numFmtId="0" fontId="47" fillId="0" borderId="0"/>
    <xf numFmtId="0" fontId="47" fillId="0" borderId="0"/>
    <xf numFmtId="0" fontId="47" fillId="0" borderId="0"/>
    <xf numFmtId="0" fontId="47" fillId="0" borderId="0"/>
    <xf numFmtId="0" fontId="28" fillId="0" borderId="0"/>
    <xf numFmtId="0" fontId="47" fillId="0" borderId="0"/>
    <xf numFmtId="0" fontId="28" fillId="0" borderId="0"/>
    <xf numFmtId="175" fontId="83" fillId="0" borderId="0" applyBorder="0" applyProtection="0"/>
    <xf numFmtId="0" fontId="19" fillId="0" borderId="0"/>
    <xf numFmtId="0" fontId="30" fillId="0" borderId="0"/>
    <xf numFmtId="0" fontId="20" fillId="33" borderId="0"/>
    <xf numFmtId="0" fontId="28" fillId="0" borderId="0"/>
    <xf numFmtId="0" fontId="5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8" fillId="0" borderId="0" applyNumberFormat="0" applyBorder="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1" fillId="0" borderId="0"/>
    <xf numFmtId="0" fontId="47" fillId="0" borderId="0"/>
    <xf numFmtId="0" fontId="1" fillId="0" borderId="0"/>
    <xf numFmtId="0" fontId="47" fillId="0" borderId="0"/>
    <xf numFmtId="0" fontId="47" fillId="0" borderId="0"/>
    <xf numFmtId="0" fontId="47" fillId="0" borderId="0"/>
    <xf numFmtId="0" fontId="1" fillId="0" borderId="0"/>
    <xf numFmtId="0" fontId="24" fillId="0" borderId="0"/>
    <xf numFmtId="0" fontId="47" fillId="0" borderId="0"/>
    <xf numFmtId="0" fontId="20" fillId="0" borderId="0"/>
    <xf numFmtId="0" fontId="47" fillId="0" borderId="0"/>
    <xf numFmtId="0" fontId="1" fillId="8" borderId="8" applyNumberFormat="0" applyFont="0" applyAlignment="0" applyProtection="0"/>
    <xf numFmtId="0" fontId="20" fillId="43" borderId="35" applyNumberFormat="0" applyFont="0" applyAlignment="0" applyProtection="0"/>
    <xf numFmtId="0" fontId="10" fillId="6" borderId="5" applyNumberFormat="0" applyAlignment="0" applyProtection="0"/>
    <xf numFmtId="0" fontId="84" fillId="55" borderId="36" applyNumberFormat="0" applyAlignment="0" applyProtection="0"/>
    <xf numFmtId="40" fontId="85" fillId="33" borderId="0">
      <alignment horizontal="right"/>
    </xf>
    <xf numFmtId="0" fontId="86" fillId="33" borderId="0">
      <alignment horizontal="right"/>
    </xf>
    <xf numFmtId="0" fontId="87" fillId="33" borderId="14"/>
    <xf numFmtId="0" fontId="87" fillId="0" borderId="0" applyBorder="0">
      <alignment horizontal="centerContinuous"/>
    </xf>
    <xf numFmtId="0" fontId="88" fillId="0" borderId="0" applyBorder="0">
      <alignment horizontal="centerContinuous"/>
    </xf>
    <xf numFmtId="176" fontId="20" fillId="0" borderId="0" applyFont="0" applyFill="0" applyBorder="0" applyProtection="0">
      <alignment horizontal="right"/>
    </xf>
    <xf numFmtId="176" fontId="20" fillId="0" borderId="0" applyFont="0" applyFill="0" applyBorder="0" applyProtection="0">
      <alignment horizontal="right"/>
    </xf>
    <xf numFmtId="10" fontId="20"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20" fillId="0" borderId="0" applyFont="0" applyFill="0" applyBorder="0" applyAlignment="0" applyProtection="0"/>
    <xf numFmtId="9" fontId="47" fillId="0" borderId="0" applyFont="0" applyFill="0" applyBorder="0" applyAlignment="0" applyProtection="0"/>
    <xf numFmtId="9" fontId="81"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20" fillId="0" borderId="0"/>
    <xf numFmtId="2" fontId="89" fillId="35" borderId="18" applyAlignment="0" applyProtection="0">
      <protection locked="0"/>
    </xf>
    <xf numFmtId="0" fontId="90" fillId="59" borderId="18" applyNumberFormat="0" applyAlignment="0" applyProtection="0"/>
    <xf numFmtId="0" fontId="91" fillId="38" borderId="21" applyNumberFormat="0" applyAlignment="0" applyProtection="0">
      <alignment horizontal="center" vertical="center"/>
    </xf>
    <xf numFmtId="0" fontId="20" fillId="0" borderId="0"/>
    <xf numFmtId="4" fontId="24" fillId="60" borderId="36" applyNumberFormat="0" applyProtection="0">
      <alignment vertical="center"/>
    </xf>
    <xf numFmtId="4" fontId="92" fillId="60" borderId="36" applyNumberFormat="0" applyProtection="0">
      <alignment vertical="center"/>
    </xf>
    <xf numFmtId="4" fontId="24" fillId="60" borderId="36" applyNumberFormat="0" applyProtection="0">
      <alignment horizontal="left" vertical="center" indent="1"/>
    </xf>
    <xf numFmtId="4" fontId="24" fillId="60" borderId="36" applyNumberFormat="0" applyProtection="0">
      <alignment horizontal="left" vertical="center" indent="1"/>
    </xf>
    <xf numFmtId="0" fontId="20" fillId="61" borderId="36" applyNumberFormat="0" applyProtection="0">
      <alignment horizontal="left" vertical="center" indent="1"/>
    </xf>
    <xf numFmtId="4" fontId="24" fillId="62" borderId="36" applyNumberFormat="0" applyProtection="0">
      <alignment horizontal="right" vertical="center"/>
    </xf>
    <xf numFmtId="4" fontId="24" fillId="63" borderId="36" applyNumberFormat="0" applyProtection="0">
      <alignment horizontal="right" vertical="center"/>
    </xf>
    <xf numFmtId="4" fontId="24" fillId="64" borderId="36" applyNumberFormat="0" applyProtection="0">
      <alignment horizontal="right" vertical="center"/>
    </xf>
    <xf numFmtId="4" fontId="24" fillId="36" borderId="36" applyNumberFormat="0" applyProtection="0">
      <alignment horizontal="right" vertical="center"/>
    </xf>
    <xf numFmtId="4" fontId="24" fillId="65" borderId="36" applyNumberFormat="0" applyProtection="0">
      <alignment horizontal="right" vertical="center"/>
    </xf>
    <xf numFmtId="4" fontId="24" fillId="66" borderId="36" applyNumberFormat="0" applyProtection="0">
      <alignment horizontal="right" vertical="center"/>
    </xf>
    <xf numFmtId="4" fontId="24" fillId="67" borderId="36" applyNumberFormat="0" applyProtection="0">
      <alignment horizontal="right" vertical="center"/>
    </xf>
    <xf numFmtId="4" fontId="24" fillId="68" borderId="36" applyNumberFormat="0" applyProtection="0">
      <alignment horizontal="right" vertical="center"/>
    </xf>
    <xf numFmtId="4" fontId="24" fillId="37" borderId="36" applyNumberFormat="0" applyProtection="0">
      <alignment horizontal="right" vertical="center"/>
    </xf>
    <xf numFmtId="4" fontId="25" fillId="69" borderId="36" applyNumberFormat="0" applyProtection="0">
      <alignment horizontal="left" vertical="center" indent="1"/>
    </xf>
    <xf numFmtId="4" fontId="24" fillId="70" borderId="37" applyNumberFormat="0" applyProtection="0">
      <alignment horizontal="left" vertical="center" indent="1"/>
    </xf>
    <xf numFmtId="4" fontId="93" fillId="71" borderId="0" applyNumberFormat="0" applyProtection="0">
      <alignment horizontal="left" vertical="center" indent="1"/>
    </xf>
    <xf numFmtId="0" fontId="20" fillId="61" borderId="36" applyNumberFormat="0" applyProtection="0">
      <alignment horizontal="left" vertical="center" indent="1"/>
    </xf>
    <xf numFmtId="4" fontId="24" fillId="70" borderId="36" applyNumberFormat="0" applyProtection="0">
      <alignment horizontal="left" vertical="center" indent="1"/>
    </xf>
    <xf numFmtId="4" fontId="24" fillId="72" borderId="36" applyNumberFormat="0" applyProtection="0">
      <alignment horizontal="left" vertical="center" indent="1"/>
    </xf>
    <xf numFmtId="0" fontId="20" fillId="72" borderId="36" applyNumberFormat="0" applyProtection="0">
      <alignment horizontal="left" vertical="center" indent="1"/>
    </xf>
    <xf numFmtId="0" fontId="20" fillId="72" borderId="36" applyNumberFormat="0" applyProtection="0">
      <alignment horizontal="left" vertical="center" indent="1"/>
    </xf>
    <xf numFmtId="0" fontId="20" fillId="38" borderId="36" applyNumberFormat="0" applyProtection="0">
      <alignment horizontal="left" vertical="center" indent="1"/>
    </xf>
    <xf numFmtId="0" fontId="20" fillId="38" borderId="36" applyNumberFormat="0" applyProtection="0">
      <alignment horizontal="left" vertical="center" indent="1"/>
    </xf>
    <xf numFmtId="0" fontId="20" fillId="34" borderId="36" applyNumberFormat="0" applyProtection="0">
      <alignment horizontal="left" vertical="center" indent="1"/>
    </xf>
    <xf numFmtId="0" fontId="20" fillId="34" borderId="36" applyNumberFormat="0" applyProtection="0">
      <alignment horizontal="left" vertical="center" indent="1"/>
    </xf>
    <xf numFmtId="0" fontId="20" fillId="61" borderId="36" applyNumberFormat="0" applyProtection="0">
      <alignment horizontal="left" vertical="center" indent="1"/>
    </xf>
    <xf numFmtId="0" fontId="20" fillId="61" borderId="36" applyNumberFormat="0" applyProtection="0">
      <alignment horizontal="left" vertical="center" indent="1"/>
    </xf>
    <xf numFmtId="4" fontId="24" fillId="59" borderId="36" applyNumberFormat="0" applyProtection="0">
      <alignment vertical="center"/>
    </xf>
    <xf numFmtId="4" fontId="92" fillId="59" borderId="36" applyNumberFormat="0" applyProtection="0">
      <alignment vertical="center"/>
    </xf>
    <xf numFmtId="4" fontId="24" fillId="59" borderId="36" applyNumberFormat="0" applyProtection="0">
      <alignment horizontal="left" vertical="center" indent="1"/>
    </xf>
    <xf numFmtId="4" fontId="24" fillId="59" borderId="36" applyNumberFormat="0" applyProtection="0">
      <alignment horizontal="left" vertical="center" indent="1"/>
    </xf>
    <xf numFmtId="4" fontId="24" fillId="70" borderId="36" applyNumberFormat="0" applyProtection="0">
      <alignment horizontal="right" vertical="center"/>
    </xf>
    <xf numFmtId="4" fontId="92" fillId="70" borderId="36" applyNumberFormat="0" applyProtection="0">
      <alignment horizontal="right" vertical="center"/>
    </xf>
    <xf numFmtId="0" fontId="20" fillId="61" borderId="36" applyNumberFormat="0" applyProtection="0">
      <alignment horizontal="left" vertical="center" indent="1"/>
    </xf>
    <xf numFmtId="0" fontId="20" fillId="61" borderId="36" applyNumberFormat="0" applyProtection="0">
      <alignment horizontal="left" vertical="center" indent="1"/>
    </xf>
    <xf numFmtId="0" fontId="94" fillId="0" borderId="0"/>
    <xf numFmtId="4" fontId="27" fillId="70" borderId="36" applyNumberFormat="0" applyProtection="0">
      <alignment horizontal="right" vertical="center"/>
    </xf>
    <xf numFmtId="0" fontId="20" fillId="0" borderId="0"/>
    <xf numFmtId="0" fontId="95" fillId="0" borderId="0" applyNumberFormat="0" applyBorder="0" applyProtection="0">
      <alignment horizontal="left"/>
    </xf>
    <xf numFmtId="0" fontId="23" fillId="0" borderId="0">
      <alignment horizontal="left"/>
    </xf>
    <xf numFmtId="3" fontId="96" fillId="33" borderId="0"/>
    <xf numFmtId="0" fontId="97" fillId="0" borderId="0" applyNumberFormat="0" applyBorder="0" applyProtection="0">
      <alignment horizontal="center" vertical="center" wrapText="1"/>
    </xf>
    <xf numFmtId="0" fontId="96" fillId="33" borderId="0"/>
    <xf numFmtId="0" fontId="98" fillId="33" borderId="0"/>
    <xf numFmtId="0" fontId="96" fillId="33" borderId="0">
      <alignment horizontal="center"/>
    </xf>
    <xf numFmtId="0" fontId="99" fillId="39" borderId="0"/>
    <xf numFmtId="177" fontId="100" fillId="0" borderId="16" applyFill="0" applyBorder="0" applyProtection="0">
      <alignment horizontal="right"/>
    </xf>
    <xf numFmtId="177" fontId="100" fillId="0" borderId="16" applyFill="0" applyBorder="0" applyProtection="0">
      <alignment horizontal="right"/>
    </xf>
    <xf numFmtId="0" fontId="101" fillId="0" borderId="0" applyNumberFormat="0" applyFill="0" applyBorder="0" applyProtection="0">
      <alignment horizontal="center" vertical="center" wrapText="1"/>
    </xf>
    <xf numFmtId="0" fontId="102" fillId="0" borderId="0">
      <alignment wrapText="1"/>
    </xf>
    <xf numFmtId="0" fontId="102" fillId="0" borderId="0">
      <alignment wrapText="1"/>
    </xf>
    <xf numFmtId="0" fontId="102" fillId="0" borderId="0">
      <alignment wrapText="1"/>
    </xf>
    <xf numFmtId="0" fontId="102" fillId="0" borderId="0">
      <alignment wrapText="1"/>
    </xf>
    <xf numFmtId="0" fontId="23" fillId="73" borderId="0">
      <alignment horizontal="right" vertical="top" wrapText="1"/>
    </xf>
    <xf numFmtId="0" fontId="23" fillId="73" borderId="0">
      <alignment horizontal="right" vertical="top" wrapText="1"/>
    </xf>
    <xf numFmtId="0" fontId="23" fillId="73" borderId="0">
      <alignment horizontal="right" vertical="top" wrapText="1"/>
    </xf>
    <xf numFmtId="0" fontId="23" fillId="73" borderId="0">
      <alignment horizontal="right" vertical="top" wrapText="1"/>
    </xf>
    <xf numFmtId="0" fontId="103" fillId="0" borderId="0"/>
    <xf numFmtId="0" fontId="103" fillId="0" borderId="0"/>
    <xf numFmtId="0" fontId="103" fillId="0" borderId="0"/>
    <xf numFmtId="0" fontId="103" fillId="0" borderId="0"/>
    <xf numFmtId="0" fontId="104" fillId="0" borderId="0"/>
    <xf numFmtId="0" fontId="104" fillId="0" borderId="0"/>
    <xf numFmtId="0" fontId="104" fillId="0" borderId="0"/>
    <xf numFmtId="1" fontId="105" fillId="0" borderId="0" applyNumberFormat="0" applyFill="0" applyBorder="0" applyProtection="0">
      <alignment horizontal="right" vertical="top"/>
    </xf>
    <xf numFmtId="0" fontId="106" fillId="0" borderId="0"/>
    <xf numFmtId="0" fontId="106" fillId="0" borderId="0"/>
    <xf numFmtId="0" fontId="106" fillId="0" borderId="0"/>
    <xf numFmtId="178" fontId="21" fillId="0" borderId="0">
      <alignment wrapText="1"/>
      <protection locked="0"/>
    </xf>
    <xf numFmtId="178" fontId="21" fillId="0" borderId="0">
      <alignment wrapText="1"/>
      <protection locked="0"/>
    </xf>
    <xf numFmtId="178" fontId="23" fillId="40" borderId="0">
      <alignment wrapText="1"/>
      <protection locked="0"/>
    </xf>
    <xf numFmtId="178" fontId="23" fillId="40" borderId="0">
      <alignment wrapText="1"/>
      <protection locked="0"/>
    </xf>
    <xf numFmtId="178" fontId="23" fillId="40" borderId="0">
      <alignment wrapText="1"/>
      <protection locked="0"/>
    </xf>
    <xf numFmtId="178" fontId="23" fillId="40" borderId="0">
      <alignment wrapText="1"/>
      <protection locked="0"/>
    </xf>
    <xf numFmtId="178" fontId="21" fillId="0" borderId="0">
      <alignment wrapText="1"/>
      <protection locked="0"/>
    </xf>
    <xf numFmtId="179" fontId="100" fillId="0" borderId="0" applyNumberFormat="0" applyFill="0" applyBorder="0" applyProtection="0">
      <alignment horizontal="left"/>
    </xf>
    <xf numFmtId="180" fontId="21" fillId="0" borderId="0">
      <alignment wrapText="1"/>
      <protection locked="0"/>
    </xf>
    <xf numFmtId="180" fontId="21" fillId="0" borderId="0">
      <alignment wrapText="1"/>
      <protection locked="0"/>
    </xf>
    <xf numFmtId="180" fontId="21" fillId="0" borderId="0">
      <alignment wrapText="1"/>
      <protection locked="0"/>
    </xf>
    <xf numFmtId="180" fontId="23" fillId="40" borderId="0">
      <alignment wrapText="1"/>
      <protection locked="0"/>
    </xf>
    <xf numFmtId="180" fontId="23" fillId="40" borderId="0">
      <alignment wrapText="1"/>
      <protection locked="0"/>
    </xf>
    <xf numFmtId="180" fontId="23" fillId="40" borderId="0">
      <alignment wrapText="1"/>
      <protection locked="0"/>
    </xf>
    <xf numFmtId="180" fontId="23" fillId="40" borderId="0">
      <alignment wrapText="1"/>
      <protection locked="0"/>
    </xf>
    <xf numFmtId="180" fontId="23" fillId="40" borderId="0">
      <alignment wrapText="1"/>
      <protection locked="0"/>
    </xf>
    <xf numFmtId="180" fontId="21" fillId="0" borderId="0">
      <alignment wrapText="1"/>
      <protection locked="0"/>
    </xf>
    <xf numFmtId="181" fontId="21" fillId="0" borderId="0">
      <alignment wrapText="1"/>
      <protection locked="0"/>
    </xf>
    <xf numFmtId="181" fontId="21" fillId="0" borderId="0">
      <alignment wrapText="1"/>
      <protection locked="0"/>
    </xf>
    <xf numFmtId="181" fontId="23" fillId="40" borderId="0">
      <alignment wrapText="1"/>
      <protection locked="0"/>
    </xf>
    <xf numFmtId="181" fontId="23" fillId="40" borderId="0">
      <alignment wrapText="1"/>
      <protection locked="0"/>
    </xf>
    <xf numFmtId="181" fontId="23" fillId="40" borderId="0">
      <alignment wrapText="1"/>
      <protection locked="0"/>
    </xf>
    <xf numFmtId="181" fontId="23" fillId="40" borderId="0">
      <alignment wrapText="1"/>
      <protection locked="0"/>
    </xf>
    <xf numFmtId="181" fontId="21" fillId="0" borderId="0">
      <alignment wrapText="1"/>
      <protection locked="0"/>
    </xf>
    <xf numFmtId="0" fontId="105" fillId="0" borderId="0" applyNumberFormat="0" applyFill="0" applyBorder="0" applyProtection="0">
      <alignment horizontal="left" vertical="top"/>
    </xf>
    <xf numFmtId="182" fontId="23" fillId="73" borderId="38">
      <alignment wrapText="1"/>
    </xf>
    <xf numFmtId="182" fontId="23" fillId="73" borderId="38">
      <alignment wrapText="1"/>
    </xf>
    <xf numFmtId="182" fontId="23" fillId="73" borderId="38">
      <alignment wrapText="1"/>
    </xf>
    <xf numFmtId="183" fontId="23" fillId="73" borderId="38">
      <alignment wrapText="1"/>
    </xf>
    <xf numFmtId="183" fontId="23" fillId="73" borderId="38">
      <alignment wrapText="1"/>
    </xf>
    <xf numFmtId="183" fontId="23" fillId="73" borderId="38">
      <alignment wrapText="1"/>
    </xf>
    <xf numFmtId="183" fontId="23" fillId="73" borderId="38">
      <alignment wrapText="1"/>
    </xf>
    <xf numFmtId="184" fontId="23" fillId="73" borderId="38">
      <alignment wrapText="1"/>
    </xf>
    <xf numFmtId="184" fontId="23" fillId="73" borderId="38">
      <alignment wrapText="1"/>
    </xf>
    <xf numFmtId="184" fontId="23" fillId="73" borderId="38">
      <alignment wrapText="1"/>
    </xf>
    <xf numFmtId="0" fontId="103" fillId="0" borderId="39">
      <alignment horizontal="right"/>
    </xf>
    <xf numFmtId="0" fontId="103" fillId="0" borderId="39">
      <alignment horizontal="right"/>
    </xf>
    <xf numFmtId="0" fontId="103" fillId="0" borderId="39">
      <alignment horizontal="right"/>
    </xf>
    <xf numFmtId="0" fontId="103" fillId="0" borderId="39">
      <alignment horizontal="right"/>
    </xf>
    <xf numFmtId="40" fontId="101" fillId="0" borderId="0"/>
    <xf numFmtId="0" fontId="107" fillId="0" borderId="0" applyNumberFormat="0" applyFill="0" applyBorder="0" applyAlignment="0" applyProtection="0"/>
    <xf numFmtId="0" fontId="108" fillId="0" borderId="0" applyNumberFormat="0" applyFill="0" applyBorder="0" applyAlignment="0" applyProtection="0"/>
    <xf numFmtId="0" fontId="52" fillId="0" borderId="0" applyNumberFormat="0" applyFill="0" applyBorder="0" applyProtection="0">
      <alignment horizontal="left" vertical="center" indent="10"/>
    </xf>
    <xf numFmtId="0" fontId="16" fillId="0" borderId="9" applyNumberFormat="0" applyFill="0" applyAlignment="0" applyProtection="0"/>
    <xf numFmtId="0" fontId="109" fillId="0" borderId="40" applyNumberFormat="0" applyFill="0" applyAlignment="0" applyProtection="0"/>
    <xf numFmtId="0" fontId="14" fillId="0" borderId="0" applyNumberFormat="0" applyFill="0" applyBorder="0" applyAlignment="0" applyProtection="0"/>
    <xf numFmtId="0" fontId="78" fillId="0" borderId="0" applyNumberFormat="0" applyFill="0" applyBorder="0" applyAlignment="0" applyProtection="0"/>
    <xf numFmtId="0" fontId="21" fillId="0" borderId="0"/>
    <xf numFmtId="0" fontId="110"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 fillId="0" borderId="0"/>
    <xf numFmtId="0" fontId="1" fillId="0" borderId="0"/>
    <xf numFmtId="0" fontId="111" fillId="0" borderId="0" applyNumberFormat="0" applyFill="0" applyBorder="0" applyAlignment="0" applyProtection="0"/>
  </cellStyleXfs>
  <cellXfs count="437">
    <xf numFmtId="0" fontId="0" fillId="0" borderId="0" xfId="0"/>
    <xf numFmtId="0" fontId="0" fillId="0" borderId="0" xfId="0"/>
    <xf numFmtId="165" fontId="0" fillId="0" borderId="0" xfId="0" applyNumberFormat="1"/>
    <xf numFmtId="0" fontId="16" fillId="0" borderId="0" xfId="0" applyFont="1"/>
    <xf numFmtId="166" fontId="0" fillId="0" borderId="0" xfId="0" applyNumberFormat="1"/>
    <xf numFmtId="0" fontId="0" fillId="0" borderId="0" xfId="0" applyAlignment="1">
      <alignment horizontal="center"/>
    </xf>
    <xf numFmtId="1" fontId="0" fillId="0" borderId="0" xfId="1" applyNumberFormat="1" applyFont="1"/>
    <xf numFmtId="10" fontId="0" fillId="0" borderId="0" xfId="0" applyNumberFormat="1"/>
    <xf numFmtId="0" fontId="0" fillId="0" borderId="0" xfId="0" applyFont="1"/>
    <xf numFmtId="0" fontId="99" fillId="0" borderId="0" xfId="0" applyFont="1"/>
    <xf numFmtId="0" fontId="112" fillId="0" borderId="0" xfId="0" applyFont="1"/>
    <xf numFmtId="0" fontId="113" fillId="0" borderId="0" xfId="0" applyFont="1"/>
    <xf numFmtId="0" fontId="0" fillId="0" borderId="0" xfId="0" applyBorder="1"/>
    <xf numFmtId="0" fontId="0" fillId="0" borderId="0" xfId="0" applyAlignment="1">
      <alignment horizontal="left"/>
    </xf>
    <xf numFmtId="0" fontId="0" fillId="74" borderId="0" xfId="0" applyFill="1" applyBorder="1"/>
    <xf numFmtId="0" fontId="114" fillId="0" borderId="0" xfId="0" applyFont="1" applyFill="1"/>
    <xf numFmtId="0" fontId="0" fillId="0" borderId="15" xfId="0" applyBorder="1"/>
    <xf numFmtId="0" fontId="0" fillId="0" borderId="16" xfId="0" applyBorder="1"/>
    <xf numFmtId="165" fontId="0" fillId="0" borderId="16" xfId="1" applyNumberFormat="1" applyFont="1" applyBorder="1"/>
    <xf numFmtId="165" fontId="0" fillId="0" borderId="17" xfId="1" applyNumberFormat="1" applyFont="1" applyBorder="1"/>
    <xf numFmtId="0" fontId="0" fillId="0" borderId="13" xfId="0" applyBorder="1"/>
    <xf numFmtId="165" fontId="0" fillId="0" borderId="0" xfId="1" applyNumberFormat="1" applyFont="1" applyBorder="1"/>
    <xf numFmtId="165" fontId="0" fillId="0" borderId="14" xfId="1" applyNumberFormat="1" applyFont="1" applyBorder="1"/>
    <xf numFmtId="0" fontId="0" fillId="0" borderId="10" xfId="0" applyBorder="1"/>
    <xf numFmtId="0" fontId="0" fillId="0" borderId="11" xfId="0" applyBorder="1"/>
    <xf numFmtId="165" fontId="0" fillId="0" borderId="11" xfId="1" applyNumberFormat="1" applyFont="1" applyBorder="1"/>
    <xf numFmtId="165" fontId="0" fillId="0" borderId="12" xfId="1" applyNumberFormat="1" applyFont="1" applyBorder="1"/>
    <xf numFmtId="0" fontId="16" fillId="0" borderId="19" xfId="0" applyFont="1" applyBorder="1"/>
    <xf numFmtId="0" fontId="16" fillId="0" borderId="20" xfId="0" applyFont="1" applyBorder="1"/>
    <xf numFmtId="0" fontId="16" fillId="0" borderId="20" xfId="0" applyFont="1" applyBorder="1" applyAlignment="1">
      <alignment horizontal="right"/>
    </xf>
    <xf numFmtId="0" fontId="16" fillId="0" borderId="22" xfId="0" applyFont="1" applyBorder="1" applyAlignment="1">
      <alignment horizontal="right"/>
    </xf>
    <xf numFmtId="0" fontId="0" fillId="0" borderId="13" xfId="0" applyFill="1" applyBorder="1"/>
    <xf numFmtId="0" fontId="0" fillId="0" borderId="15" xfId="0" applyFill="1" applyBorder="1"/>
    <xf numFmtId="0" fontId="0" fillId="0" borderId="10" xfId="0" applyFill="1" applyBorder="1"/>
    <xf numFmtId="0" fontId="16" fillId="0" borderId="15" xfId="0" applyFont="1" applyBorder="1"/>
    <xf numFmtId="0" fontId="16" fillId="0" borderId="16" xfId="0" applyFont="1" applyBorder="1"/>
    <xf numFmtId="0" fontId="0" fillId="0" borderId="16" xfId="0" applyFill="1" applyBorder="1"/>
    <xf numFmtId="0" fontId="0" fillId="0" borderId="0" xfId="0" applyFill="1" applyBorder="1"/>
    <xf numFmtId="0" fontId="0" fillId="0" borderId="11" xfId="0" applyFill="1" applyBorder="1"/>
    <xf numFmtId="0" fontId="0" fillId="0" borderId="0" xfId="0" applyAlignment="1">
      <alignment horizontal="center" vertical="center" wrapText="1"/>
    </xf>
    <xf numFmtId="3" fontId="0" fillId="0" borderId="14" xfId="0" applyNumberFormat="1" applyBorder="1"/>
    <xf numFmtId="3" fontId="0" fillId="0" borderId="12" xfId="0" applyNumberFormat="1" applyBorder="1"/>
    <xf numFmtId="0" fontId="16" fillId="0" borderId="19" xfId="0" applyFont="1" applyBorder="1" applyAlignment="1">
      <alignment horizontal="center" vertical="center" wrapText="1"/>
    </xf>
    <xf numFmtId="0" fontId="16" fillId="0" borderId="22" xfId="0" applyFont="1" applyBorder="1" applyAlignment="1">
      <alignment horizontal="center" vertical="center" wrapText="1"/>
    </xf>
    <xf numFmtId="0" fontId="115" fillId="0" borderId="13" xfId="0" applyFont="1" applyBorder="1"/>
    <xf numFmtId="0" fontId="115" fillId="0" borderId="14" xfId="0" applyFont="1" applyBorder="1"/>
    <xf numFmtId="3" fontId="115" fillId="0" borderId="13" xfId="0" applyNumberFormat="1" applyFont="1" applyBorder="1"/>
    <xf numFmtId="3" fontId="115" fillId="0" borderId="14" xfId="0" applyNumberFormat="1" applyFont="1" applyBorder="1"/>
    <xf numFmtId="3" fontId="115" fillId="0" borderId="10" xfId="0" applyNumberFormat="1" applyFont="1" applyBorder="1"/>
    <xf numFmtId="3" fontId="115" fillId="0" borderId="12" xfId="0" applyNumberFormat="1" applyFont="1" applyBorder="1"/>
    <xf numFmtId="0" fontId="115" fillId="0" borderId="19" xfId="0" applyFont="1" applyBorder="1" applyAlignment="1">
      <alignment horizontal="center" vertical="center" wrapText="1"/>
    </xf>
    <xf numFmtId="0" fontId="115" fillId="0" borderId="22" xfId="0" applyFont="1" applyBorder="1" applyAlignment="1">
      <alignment horizontal="center" vertical="center" wrapText="1"/>
    </xf>
    <xf numFmtId="0" fontId="16" fillId="0" borderId="0" xfId="0" applyFont="1" applyAlignment="1">
      <alignment horizontal="center" vertical="center"/>
    </xf>
    <xf numFmtId="3" fontId="0" fillId="0" borderId="0" xfId="0" applyNumberFormat="1" applyBorder="1"/>
    <xf numFmtId="3" fontId="115" fillId="0" borderId="0" xfId="0" applyNumberFormat="1" applyFont="1" applyBorder="1"/>
    <xf numFmtId="0" fontId="0" fillId="0" borderId="19" xfId="0" applyFill="1" applyBorder="1"/>
    <xf numFmtId="3" fontId="0" fillId="0" borderId="22" xfId="0" applyNumberFormat="1" applyBorder="1"/>
    <xf numFmtId="0" fontId="16" fillId="0" borderId="17" xfId="0" applyFont="1" applyBorder="1"/>
    <xf numFmtId="6" fontId="0" fillId="0" borderId="0" xfId="0" applyNumberFormat="1" applyBorder="1"/>
    <xf numFmtId="166" fontId="0" fillId="0" borderId="0" xfId="0" applyNumberFormat="1" applyBorder="1"/>
    <xf numFmtId="166" fontId="0" fillId="0" borderId="14" xfId="0" applyNumberFormat="1" applyBorder="1"/>
    <xf numFmtId="6" fontId="0" fillId="0" borderId="11" xfId="0" applyNumberFormat="1" applyBorder="1"/>
    <xf numFmtId="166" fontId="0" fillId="0" borderId="11" xfId="0" applyNumberFormat="1" applyBorder="1"/>
    <xf numFmtId="166" fontId="0" fillId="0" borderId="12" xfId="0" applyNumberFormat="1" applyBorder="1"/>
    <xf numFmtId="0" fontId="0" fillId="0" borderId="13" xfId="0" applyBorder="1" applyAlignment="1">
      <alignment horizontal="center"/>
    </xf>
    <xf numFmtId="0" fontId="0" fillId="0" borderId="10" xfId="0" applyBorder="1" applyAlignment="1">
      <alignment horizontal="center"/>
    </xf>
    <xf numFmtId="0" fontId="16" fillId="0" borderId="17" xfId="0" applyFont="1" applyBorder="1" applyAlignment="1">
      <alignment horizontal="center"/>
    </xf>
    <xf numFmtId="0" fontId="16" fillId="0" borderId="0" xfId="0" applyFont="1" applyFill="1" applyBorder="1" applyAlignment="1">
      <alignment horizontal="center" vertical="center"/>
    </xf>
    <xf numFmtId="0" fontId="16" fillId="0" borderId="0" xfId="0" applyFont="1" applyBorder="1" applyAlignment="1">
      <alignment horizontal="center"/>
    </xf>
    <xf numFmtId="0" fontId="116" fillId="0" borderId="0" xfId="0" applyFont="1"/>
    <xf numFmtId="0" fontId="117" fillId="0" borderId="0" xfId="0" applyFont="1"/>
    <xf numFmtId="0" fontId="115" fillId="0" borderId="0" xfId="0" applyFont="1"/>
    <xf numFmtId="0" fontId="119" fillId="0" borderId="0" xfId="0" applyFont="1"/>
    <xf numFmtId="0" fontId="118" fillId="0" borderId="0" xfId="0" applyFont="1" applyFill="1" applyBorder="1" applyAlignment="1">
      <alignment horizontal="left" vertical="center" wrapText="1"/>
    </xf>
    <xf numFmtId="0" fontId="31" fillId="0" borderId="0" xfId="0" applyFont="1"/>
    <xf numFmtId="0" fontId="19" fillId="0" borderId="0" xfId="0" applyFont="1"/>
    <xf numFmtId="0" fontId="19" fillId="0" borderId="0" xfId="0" applyFont="1" applyBorder="1" applyAlignment="1">
      <alignment horizontal="center"/>
    </xf>
    <xf numFmtId="0" fontId="19" fillId="0" borderId="0" xfId="0" quotePrefix="1" applyFont="1"/>
    <xf numFmtId="0" fontId="19" fillId="0" borderId="0" xfId="0" applyFont="1" applyFill="1" applyBorder="1" applyAlignment="1">
      <alignment vertical="center"/>
    </xf>
    <xf numFmtId="0" fontId="19" fillId="0" borderId="0" xfId="0" applyFont="1" applyFill="1" applyBorder="1" applyAlignment="1">
      <alignment horizontal="left" vertical="center"/>
    </xf>
    <xf numFmtId="0" fontId="120" fillId="0" borderId="0" xfId="0" applyFont="1" applyFill="1" applyBorder="1" applyAlignment="1">
      <alignment horizontal="center" vertical="center"/>
    </xf>
    <xf numFmtId="0" fontId="31" fillId="0" borderId="0" xfId="0" applyFont="1" applyFill="1" applyBorder="1" applyAlignment="1">
      <alignment vertical="center"/>
    </xf>
    <xf numFmtId="0" fontId="19" fillId="0" borderId="0" xfId="0" applyFont="1" applyFill="1" applyBorder="1" applyAlignment="1">
      <alignment horizontal="center" vertical="center"/>
    </xf>
    <xf numFmtId="0" fontId="122" fillId="0" borderId="0" xfId="0" applyFont="1" applyBorder="1" applyAlignment="1">
      <alignment horizontal="left" vertical="center"/>
    </xf>
    <xf numFmtId="0" fontId="19" fillId="0" borderId="0" xfId="0" applyFont="1" applyBorder="1" applyAlignment="1">
      <alignment horizontal="center" vertical="center"/>
    </xf>
    <xf numFmtId="0" fontId="31" fillId="0" borderId="0" xfId="0" applyFont="1" applyBorder="1"/>
    <xf numFmtId="0" fontId="19" fillId="0" borderId="0" xfId="0" applyFont="1" applyBorder="1"/>
    <xf numFmtId="0" fontId="19" fillId="0" borderId="0" xfId="0" applyFont="1" applyFill="1"/>
    <xf numFmtId="9" fontId="19" fillId="0" borderId="0" xfId="0" applyNumberFormat="1" applyFont="1" applyFill="1"/>
    <xf numFmtId="9" fontId="31" fillId="0" borderId="0" xfId="0" applyNumberFormat="1" applyFont="1" applyFill="1" applyAlignment="1">
      <alignment horizontal="center"/>
    </xf>
    <xf numFmtId="10" fontId="19" fillId="0" borderId="0" xfId="0" applyNumberFormat="1" applyFont="1"/>
    <xf numFmtId="1" fontId="19" fillId="0" borderId="0" xfId="0" applyNumberFormat="1" applyFont="1"/>
    <xf numFmtId="10" fontId="19" fillId="0" borderId="0" xfId="0" applyNumberFormat="1" applyFont="1" applyAlignment="1">
      <alignment wrapText="1"/>
    </xf>
    <xf numFmtId="2" fontId="19" fillId="0" borderId="0" xfId="0" applyNumberFormat="1" applyFont="1"/>
    <xf numFmtId="10" fontId="19" fillId="0" borderId="0" xfId="0" applyNumberFormat="1" applyFont="1" applyAlignment="1"/>
    <xf numFmtId="0" fontId="31" fillId="77" borderId="19" xfId="0" applyFont="1" applyFill="1" applyBorder="1" applyAlignment="1">
      <alignment horizontal="center" vertical="center"/>
    </xf>
    <xf numFmtId="0" fontId="31" fillId="77" borderId="19" xfId="0" applyFont="1" applyFill="1" applyBorder="1" applyAlignment="1">
      <alignment vertical="center"/>
    </xf>
    <xf numFmtId="0" fontId="19" fillId="77" borderId="13" xfId="0" applyFont="1" applyFill="1" applyBorder="1" applyAlignment="1">
      <alignment horizontal="left" vertical="center"/>
    </xf>
    <xf numFmtId="0" fontId="19" fillId="77" borderId="13" xfId="0" applyFont="1" applyFill="1" applyBorder="1" applyAlignment="1">
      <alignment vertical="center"/>
    </xf>
    <xf numFmtId="0" fontId="19" fillId="77" borderId="10" xfId="0" applyFont="1" applyFill="1" applyBorder="1" applyAlignment="1">
      <alignment vertical="center"/>
    </xf>
    <xf numFmtId="0" fontId="31" fillId="77" borderId="20" xfId="0" applyFont="1" applyFill="1" applyBorder="1" applyAlignment="1">
      <alignment vertical="center"/>
    </xf>
    <xf numFmtId="0" fontId="121" fillId="77" borderId="20" xfId="0" applyFont="1" applyFill="1" applyBorder="1" applyAlignment="1">
      <alignment vertical="center"/>
    </xf>
    <xf numFmtId="0" fontId="19" fillId="77" borderId="22" xfId="0" applyFont="1" applyFill="1" applyBorder="1"/>
    <xf numFmtId="0" fontId="31" fillId="77" borderId="20" xfId="0" applyFont="1" applyFill="1" applyBorder="1" applyAlignment="1">
      <alignment horizontal="center" vertical="center"/>
    </xf>
    <xf numFmtId="0" fontId="31" fillId="77" borderId="20" xfId="0" applyFont="1" applyFill="1" applyBorder="1" applyAlignment="1">
      <alignment horizontal="center" vertical="center" wrapText="1"/>
    </xf>
    <xf numFmtId="0" fontId="123" fillId="0" borderId="0" xfId="0" applyFont="1" applyAlignment="1">
      <alignment horizontal="left" vertical="top"/>
    </xf>
    <xf numFmtId="0" fontId="19" fillId="76" borderId="19" xfId="0" applyFont="1" applyFill="1" applyBorder="1" applyAlignment="1">
      <alignment vertical="center"/>
    </xf>
    <xf numFmtId="0" fontId="19" fillId="76" borderId="20" xfId="0" applyFont="1" applyFill="1" applyBorder="1" applyAlignment="1">
      <alignment vertical="center"/>
    </xf>
    <xf numFmtId="0" fontId="19" fillId="0" borderId="0" xfId="0" applyFont="1" applyAlignment="1">
      <alignment horizontal="center"/>
    </xf>
    <xf numFmtId="0" fontId="31" fillId="77" borderId="19" xfId="0" applyFont="1" applyFill="1" applyBorder="1" applyAlignment="1">
      <alignment horizontal="left" vertical="center"/>
    </xf>
    <xf numFmtId="0" fontId="31" fillId="77" borderId="20" xfId="0" applyFont="1" applyFill="1" applyBorder="1" applyAlignment="1">
      <alignment horizontal="left" vertical="center"/>
    </xf>
    <xf numFmtId="0" fontId="118" fillId="0" borderId="0" xfId="0" applyFont="1" applyFill="1" applyBorder="1" applyAlignment="1">
      <alignment vertical="center" wrapText="1"/>
    </xf>
    <xf numFmtId="0" fontId="125" fillId="0" borderId="0" xfId="0" applyFont="1" applyFill="1" applyBorder="1" applyAlignment="1">
      <alignment horizontal="left" vertical="center" wrapText="1"/>
    </xf>
    <xf numFmtId="0" fontId="31" fillId="39" borderId="0" xfId="0" applyFont="1" applyFill="1"/>
    <xf numFmtId="0" fontId="19" fillId="39" borderId="0" xfId="0" applyFont="1" applyFill="1"/>
    <xf numFmtId="165" fontId="19" fillId="39" borderId="0" xfId="1" applyNumberFormat="1" applyFont="1" applyFill="1"/>
    <xf numFmtId="10" fontId="19" fillId="39" borderId="0" xfId="0" applyNumberFormat="1" applyFont="1" applyFill="1"/>
    <xf numFmtId="0" fontId="31" fillId="79" borderId="0" xfId="0" applyFont="1" applyFill="1"/>
    <xf numFmtId="0" fontId="19" fillId="79" borderId="0" xfId="0" applyFont="1" applyFill="1"/>
    <xf numFmtId="0" fontId="19" fillId="79" borderId="0" xfId="0" applyFont="1" applyFill="1" applyBorder="1" applyAlignment="1">
      <alignment horizontal="center" vertical="center"/>
    </xf>
    <xf numFmtId="165" fontId="19" fillId="79" borderId="0" xfId="1" applyNumberFormat="1" applyFont="1" applyFill="1"/>
    <xf numFmtId="10" fontId="19" fillId="79" borderId="0" xfId="0" applyNumberFormat="1" applyFont="1" applyFill="1"/>
    <xf numFmtId="0" fontId="19" fillId="77" borderId="0" xfId="0" applyFont="1" applyFill="1" applyBorder="1" applyAlignment="1">
      <alignment horizontal="left" vertical="center"/>
    </xf>
    <xf numFmtId="0" fontId="19" fillId="77" borderId="13" xfId="0" applyFont="1" applyFill="1" applyBorder="1" applyAlignment="1">
      <alignment vertical="center" wrapText="1"/>
    </xf>
    <xf numFmtId="0" fontId="19" fillId="77" borderId="0" xfId="0" applyFont="1" applyFill="1" applyBorder="1" applyAlignment="1">
      <alignment horizontal="center" vertical="center"/>
    </xf>
    <xf numFmtId="0" fontId="19" fillId="77" borderId="20" xfId="0" applyFont="1" applyFill="1" applyBorder="1" applyAlignment="1">
      <alignment horizontal="left" vertical="center"/>
    </xf>
    <xf numFmtId="0" fontId="19" fillId="77" borderId="20" xfId="0" applyFont="1" applyFill="1" applyBorder="1" applyAlignment="1">
      <alignment horizontal="center" vertical="center"/>
    </xf>
    <xf numFmtId="0" fontId="19" fillId="77" borderId="11" xfId="0" applyFont="1" applyFill="1" applyBorder="1" applyAlignment="1">
      <alignment horizontal="center" vertical="center"/>
    </xf>
    <xf numFmtId="0" fontId="19" fillId="76" borderId="21" xfId="0" applyFont="1" applyFill="1" applyBorder="1" applyAlignment="1">
      <alignment vertical="center"/>
    </xf>
    <xf numFmtId="0" fontId="126" fillId="0" borderId="0" xfId="0" applyFont="1"/>
    <xf numFmtId="0" fontId="31" fillId="80" borderId="19" xfId="0" applyFont="1" applyFill="1" applyBorder="1" applyAlignment="1">
      <alignment vertical="center"/>
    </xf>
    <xf numFmtId="0" fontId="31" fillId="80" borderId="20" xfId="0" applyFont="1" applyFill="1" applyBorder="1" applyAlignment="1">
      <alignment vertical="center"/>
    </xf>
    <xf numFmtId="0" fontId="19" fillId="80" borderId="20" xfId="0" applyFont="1" applyFill="1" applyBorder="1"/>
    <xf numFmtId="0" fontId="19" fillId="80" borderId="13" xfId="0" applyFont="1" applyFill="1" applyBorder="1" applyAlignment="1">
      <alignment horizontal="left" vertical="center"/>
    </xf>
    <xf numFmtId="0" fontId="19" fillId="80" borderId="0" xfId="0" applyFont="1" applyFill="1" applyBorder="1" applyAlignment="1">
      <alignment horizontal="left" vertical="center" wrapText="1"/>
    </xf>
    <xf numFmtId="0" fontId="19" fillId="80" borderId="0" xfId="0" applyFont="1" applyFill="1" applyBorder="1" applyAlignment="1">
      <alignment horizontal="center" vertical="center"/>
    </xf>
    <xf numFmtId="0" fontId="19" fillId="80" borderId="20" xfId="0" applyFont="1" applyFill="1" applyBorder="1" applyAlignment="1">
      <alignment horizontal="center" vertical="center"/>
    </xf>
    <xf numFmtId="0" fontId="121" fillId="80" borderId="20" xfId="0" applyFont="1" applyFill="1" applyBorder="1" applyAlignment="1">
      <alignment vertical="center"/>
    </xf>
    <xf numFmtId="0" fontId="19" fillId="80" borderId="22" xfId="0" applyFont="1" applyFill="1" applyBorder="1"/>
    <xf numFmtId="0" fontId="19" fillId="80" borderId="13" xfId="0" applyFont="1" applyFill="1" applyBorder="1" applyAlignment="1">
      <alignment vertical="center"/>
    </xf>
    <xf numFmtId="0" fontId="19" fillId="80" borderId="0" xfId="0" applyFont="1" applyFill="1" applyBorder="1" applyAlignment="1">
      <alignment horizontal="left" vertical="center"/>
    </xf>
    <xf numFmtId="0" fontId="19" fillId="80" borderId="13" xfId="0" applyFont="1" applyFill="1" applyBorder="1" applyAlignment="1">
      <alignment vertical="center" wrapText="1"/>
    </xf>
    <xf numFmtId="0" fontId="19" fillId="80" borderId="10" xfId="0" applyFont="1" applyFill="1" applyBorder="1" applyAlignment="1">
      <alignment vertical="center"/>
    </xf>
    <xf numFmtId="0" fontId="19" fillId="80" borderId="11" xfId="0" applyFont="1" applyFill="1" applyBorder="1" applyAlignment="1">
      <alignment horizontal="center" vertical="center"/>
    </xf>
    <xf numFmtId="0" fontId="19" fillId="77" borderId="19" xfId="0" applyFont="1" applyFill="1" applyBorder="1" applyAlignment="1">
      <alignment vertical="center"/>
    </xf>
    <xf numFmtId="0" fontId="118" fillId="0" borderId="0" xfId="0" applyFont="1" applyFill="1" applyBorder="1" applyAlignment="1">
      <alignment horizontal="left" vertical="center" wrapText="1"/>
    </xf>
    <xf numFmtId="0" fontId="31" fillId="77" borderId="20" xfId="0" applyFont="1" applyFill="1" applyBorder="1" applyAlignment="1">
      <alignment horizontal="left" vertical="center"/>
    </xf>
    <xf numFmtId="0" fontId="31" fillId="77" borderId="20" xfId="0" applyFont="1" applyFill="1" applyBorder="1" applyAlignment="1">
      <alignment horizontal="center" vertical="center"/>
    </xf>
    <xf numFmtId="165" fontId="19" fillId="0" borderId="0" xfId="0" applyNumberFormat="1" applyFont="1"/>
    <xf numFmtId="0" fontId="118" fillId="0" borderId="0" xfId="0" applyFont="1" applyFill="1" applyBorder="1" applyAlignment="1">
      <alignment horizontal="left" vertical="center" wrapText="1"/>
    </xf>
    <xf numFmtId="0" fontId="31" fillId="77" borderId="20" xfId="0" applyFont="1" applyFill="1" applyBorder="1" applyAlignment="1">
      <alignment horizontal="center" vertical="center"/>
    </xf>
    <xf numFmtId="0" fontId="31" fillId="77" borderId="20" xfId="0" applyFont="1" applyFill="1" applyBorder="1" applyAlignment="1">
      <alignment horizontal="left" vertical="center"/>
    </xf>
    <xf numFmtId="0" fontId="14" fillId="0" borderId="0" xfId="0" applyFont="1"/>
    <xf numFmtId="0" fontId="19" fillId="39" borderId="0" xfId="0" applyFont="1" applyFill="1" applyBorder="1"/>
    <xf numFmtId="0" fontId="31" fillId="39" borderId="0" xfId="0" applyFont="1" applyFill="1" applyBorder="1" applyAlignment="1">
      <alignment horizontal="center"/>
    </xf>
    <xf numFmtId="165" fontId="19" fillId="39" borderId="0" xfId="1" applyNumberFormat="1" applyFont="1" applyFill="1" applyBorder="1"/>
    <xf numFmtId="0" fontId="31" fillId="39" borderId="0" xfId="0" applyFont="1" applyFill="1" applyAlignment="1">
      <alignment horizontal="center"/>
    </xf>
    <xf numFmtId="9" fontId="19" fillId="39" borderId="0" xfId="0" applyNumberFormat="1" applyFont="1" applyFill="1"/>
    <xf numFmtId="0" fontId="31" fillId="39" borderId="0" xfId="0" applyFont="1" applyFill="1" applyAlignment="1"/>
    <xf numFmtId="0" fontId="19" fillId="39" borderId="0" xfId="0" applyFont="1" applyFill="1" applyBorder="1" applyAlignment="1"/>
    <xf numFmtId="165" fontId="19" fillId="39" borderId="0" xfId="1" applyNumberFormat="1" applyFont="1" applyFill="1" applyBorder="1" applyAlignment="1"/>
    <xf numFmtId="0" fontId="125" fillId="0" borderId="0" xfId="0" applyFont="1" applyFill="1" applyBorder="1" applyAlignment="1">
      <alignment vertical="center"/>
    </xf>
    <xf numFmtId="0" fontId="127" fillId="0" borderId="0" xfId="0" applyFont="1" applyAlignment="1">
      <alignment horizontal="center" vertical="center"/>
    </xf>
    <xf numFmtId="0" fontId="19" fillId="0" borderId="0" xfId="0" applyFont="1" applyFill="1" applyBorder="1" applyAlignment="1">
      <alignment vertical="center" wrapText="1"/>
    </xf>
    <xf numFmtId="0" fontId="19" fillId="77" borderId="13" xfId="0" applyFont="1" applyFill="1" applyBorder="1" applyAlignment="1">
      <alignment wrapText="1"/>
    </xf>
    <xf numFmtId="0" fontId="19" fillId="80" borderId="15" xfId="0" applyFont="1" applyFill="1" applyBorder="1"/>
    <xf numFmtId="0" fontId="31" fillId="80" borderId="16" xfId="0" applyFont="1" applyFill="1" applyBorder="1" applyAlignment="1">
      <alignment horizontal="center" vertical="center"/>
    </xf>
    <xf numFmtId="0" fontId="31" fillId="80" borderId="17" xfId="0" applyFont="1" applyFill="1" applyBorder="1" applyAlignment="1">
      <alignment horizontal="center" vertical="center"/>
    </xf>
    <xf numFmtId="0" fontId="19" fillId="80" borderId="13" xfId="0" applyFont="1" applyFill="1" applyBorder="1" applyAlignment="1">
      <alignment wrapText="1"/>
    </xf>
    <xf numFmtId="0" fontId="19" fillId="77" borderId="10" xfId="0" applyFont="1" applyFill="1" applyBorder="1" applyAlignment="1">
      <alignment wrapText="1"/>
    </xf>
    <xf numFmtId="9" fontId="19" fillId="80" borderId="0" xfId="0" applyNumberFormat="1" applyFont="1" applyFill="1" applyBorder="1" applyAlignment="1">
      <alignment horizontal="right" vertical="center"/>
    </xf>
    <xf numFmtId="9" fontId="19" fillId="80" borderId="14" xfId="0" applyNumberFormat="1" applyFont="1" applyFill="1" applyBorder="1" applyAlignment="1">
      <alignment horizontal="right" vertical="center"/>
    </xf>
    <xf numFmtId="166" fontId="19" fillId="80" borderId="0" xfId="0" applyNumberFormat="1" applyFont="1" applyFill="1" applyBorder="1" applyAlignment="1">
      <alignment horizontal="right" vertical="center"/>
    </xf>
    <xf numFmtId="166" fontId="19" fillId="80" borderId="14" xfId="0" applyNumberFormat="1" applyFont="1" applyFill="1" applyBorder="1" applyAlignment="1">
      <alignment horizontal="right" vertical="center"/>
    </xf>
    <xf numFmtId="0" fontId="19" fillId="77" borderId="0" xfId="0" applyFont="1" applyFill="1" applyBorder="1" applyAlignment="1">
      <alignment horizontal="right" vertical="center"/>
    </xf>
    <xf numFmtId="0" fontId="19" fillId="77" borderId="14" xfId="0" applyFont="1" applyFill="1" applyBorder="1" applyAlignment="1">
      <alignment horizontal="right" vertical="center"/>
    </xf>
    <xf numFmtId="9" fontId="19" fillId="77" borderId="0" xfId="0" applyNumberFormat="1" applyFont="1" applyFill="1" applyBorder="1" applyAlignment="1">
      <alignment horizontal="right" vertical="center"/>
    </xf>
    <xf numFmtId="9" fontId="19" fillId="77" borderId="14" xfId="0" applyNumberFormat="1" applyFont="1" applyFill="1" applyBorder="1" applyAlignment="1">
      <alignment horizontal="right" vertical="center"/>
    </xf>
    <xf numFmtId="9" fontId="19" fillId="77" borderId="11" xfId="0" applyNumberFormat="1" applyFont="1" applyFill="1" applyBorder="1" applyAlignment="1">
      <alignment horizontal="right" vertical="center"/>
    </xf>
    <xf numFmtId="9" fontId="19" fillId="77" borderId="12" xfId="0" applyNumberFormat="1" applyFont="1" applyFill="1" applyBorder="1" applyAlignment="1">
      <alignment horizontal="right" vertical="center"/>
    </xf>
    <xf numFmtId="0" fontId="16" fillId="75" borderId="19" xfId="0" applyFont="1" applyFill="1" applyBorder="1"/>
    <xf numFmtId="0" fontId="128" fillId="75" borderId="19" xfId="0" applyFont="1" applyFill="1" applyBorder="1" applyAlignment="1">
      <alignment horizontal="center" vertical="center"/>
    </xf>
    <xf numFmtId="0" fontId="128" fillId="75" borderId="22" xfId="0" applyFont="1" applyFill="1" applyBorder="1" applyAlignment="1">
      <alignment horizontal="center" vertical="center"/>
    </xf>
    <xf numFmtId="0" fontId="116" fillId="75" borderId="13" xfId="0" applyFont="1" applyFill="1" applyBorder="1"/>
    <xf numFmtId="0" fontId="116" fillId="75" borderId="10" xfId="0" applyFont="1" applyFill="1" applyBorder="1"/>
    <xf numFmtId="0" fontId="123" fillId="0" borderId="0" xfId="0" applyFont="1"/>
    <xf numFmtId="0" fontId="0" fillId="78" borderId="0" xfId="0" applyFill="1"/>
    <xf numFmtId="0" fontId="0" fillId="78" borderId="15" xfId="0" applyFill="1" applyBorder="1"/>
    <xf numFmtId="0" fontId="0" fillId="78" borderId="16" xfId="0" applyFill="1" applyBorder="1"/>
    <xf numFmtId="0" fontId="0" fillId="78" borderId="13" xfId="0" applyFill="1" applyBorder="1"/>
    <xf numFmtId="0" fontId="0" fillId="78" borderId="0" xfId="0" applyFill="1" applyBorder="1"/>
    <xf numFmtId="0" fontId="0" fillId="78" borderId="10" xfId="0" applyFill="1" applyBorder="1"/>
    <xf numFmtId="0" fontId="0" fillId="78" borderId="11" xfId="0" applyFill="1" applyBorder="1"/>
    <xf numFmtId="0" fontId="19" fillId="0" borderId="0" xfId="0" applyFont="1" applyFill="1" applyBorder="1" applyAlignment="1">
      <alignment horizontal="center" vertical="center" wrapText="1"/>
    </xf>
    <xf numFmtId="0" fontId="0" fillId="0" borderId="17" xfId="0" applyBorder="1"/>
    <xf numFmtId="0" fontId="0" fillId="0" borderId="14" xfId="0" applyBorder="1"/>
    <xf numFmtId="0" fontId="16" fillId="0" borderId="13" xfId="0" applyFont="1" applyBorder="1"/>
    <xf numFmtId="0" fontId="0" fillId="0" borderId="0" xfId="0" applyAlignment="1">
      <alignment horizontal="left" vertical="center"/>
    </xf>
    <xf numFmtId="0" fontId="0" fillId="79" borderId="15" xfId="0" applyFill="1" applyBorder="1" applyAlignment="1">
      <alignment horizontal="left" vertical="center" wrapText="1"/>
    </xf>
    <xf numFmtId="0" fontId="0" fillId="79" borderId="16" xfId="0" applyFill="1" applyBorder="1" applyAlignment="1">
      <alignment horizontal="left" vertical="center" wrapText="1"/>
    </xf>
    <xf numFmtId="0" fontId="0" fillId="79" borderId="13" xfId="0" applyFill="1" applyBorder="1" applyAlignment="1">
      <alignment horizontal="left" vertical="center"/>
    </xf>
    <xf numFmtId="0" fontId="0" fillId="79" borderId="0" xfId="0" applyFill="1" applyBorder="1" applyAlignment="1">
      <alignment horizontal="left" vertical="center" wrapText="1"/>
    </xf>
    <xf numFmtId="0" fontId="0" fillId="79" borderId="0" xfId="0" applyFont="1" applyFill="1" applyBorder="1" applyAlignment="1">
      <alignment horizontal="left" vertical="center" wrapText="1"/>
    </xf>
    <xf numFmtId="0" fontId="0" fillId="79" borderId="10" xfId="0" applyFill="1" applyBorder="1" applyAlignment="1">
      <alignment horizontal="left" vertical="center"/>
    </xf>
    <xf numFmtId="0" fontId="0" fillId="79" borderId="11" xfId="0" applyFill="1" applyBorder="1" applyAlignment="1">
      <alignment horizontal="left" vertical="center" wrapText="1"/>
    </xf>
    <xf numFmtId="0" fontId="0" fillId="79" borderId="11" xfId="0" applyFont="1" applyFill="1" applyBorder="1" applyAlignment="1">
      <alignment horizontal="left" vertical="center" wrapText="1"/>
    </xf>
    <xf numFmtId="0" fontId="0" fillId="79" borderId="0" xfId="0" applyFill="1" applyBorder="1" applyAlignment="1">
      <alignment horizontal="left" vertical="center"/>
    </xf>
    <xf numFmtId="0" fontId="0" fillId="79" borderId="11" xfId="0" applyFill="1" applyBorder="1" applyAlignment="1">
      <alignment horizontal="left" vertical="center"/>
    </xf>
    <xf numFmtId="0" fontId="19" fillId="77" borderId="15" xfId="0" applyFont="1" applyFill="1" applyBorder="1" applyAlignment="1">
      <alignment horizontal="left" vertical="center"/>
    </xf>
    <xf numFmtId="0" fontId="0" fillId="77" borderId="16" xfId="0" applyFont="1" applyFill="1" applyBorder="1" applyAlignment="1">
      <alignment horizontal="left" vertical="center" wrapText="1"/>
    </xf>
    <xf numFmtId="0" fontId="0" fillId="77" borderId="13" xfId="0" applyFill="1" applyBorder="1" applyAlignment="1">
      <alignment horizontal="left" vertical="center"/>
    </xf>
    <xf numFmtId="0" fontId="0" fillId="77" borderId="0" xfId="0" applyFont="1" applyFill="1" applyBorder="1" applyAlignment="1">
      <alignment horizontal="left" vertical="center" wrapText="1"/>
    </xf>
    <xf numFmtId="0" fontId="112" fillId="77" borderId="19" xfId="0" applyFont="1" applyFill="1" applyBorder="1"/>
    <xf numFmtId="0" fontId="112" fillId="77" borderId="20" xfId="0" applyFont="1" applyFill="1" applyBorder="1"/>
    <xf numFmtId="0" fontId="112" fillId="0" borderId="15" xfId="0" applyFont="1" applyBorder="1"/>
    <xf numFmtId="165" fontId="0" fillId="0" borderId="16" xfId="0" applyNumberFormat="1" applyBorder="1"/>
    <xf numFmtId="165" fontId="0" fillId="0" borderId="17" xfId="0" applyNumberFormat="1" applyBorder="1"/>
    <xf numFmtId="9" fontId="0" fillId="0" borderId="0" xfId="0" applyNumberFormat="1" applyBorder="1"/>
    <xf numFmtId="9" fontId="0" fillId="0" borderId="14" xfId="0" applyNumberFormat="1" applyBorder="1"/>
    <xf numFmtId="1" fontId="0" fillId="0" borderId="0" xfId="1" applyNumberFormat="1" applyFont="1" applyBorder="1"/>
    <xf numFmtId="1" fontId="0" fillId="0" borderId="14" xfId="1" applyNumberFormat="1" applyFont="1" applyBorder="1"/>
    <xf numFmtId="165" fontId="0" fillId="0" borderId="0" xfId="0" applyNumberFormat="1" applyBorder="1"/>
    <xf numFmtId="165" fontId="0" fillId="0" borderId="14" xfId="0" applyNumberFormat="1" applyBorder="1"/>
    <xf numFmtId="49" fontId="0" fillId="0" borderId="13" xfId="1" applyNumberFormat="1" applyFont="1" applyBorder="1" applyAlignment="1">
      <alignment horizontal="left"/>
    </xf>
    <xf numFmtId="0" fontId="0" fillId="0" borderId="13" xfId="0" applyFont="1" applyBorder="1"/>
    <xf numFmtId="0" fontId="112" fillId="0" borderId="15" xfId="0" applyFont="1" applyFill="1" applyBorder="1" applyAlignment="1">
      <alignment horizontal="left" vertical="center" wrapText="1"/>
    </xf>
    <xf numFmtId="0" fontId="19" fillId="0" borderId="16" xfId="0" applyFont="1" applyFill="1" applyBorder="1" applyAlignment="1">
      <alignment horizontal="center" vertical="center" wrapText="1"/>
    </xf>
    <xf numFmtId="0" fontId="19" fillId="0" borderId="17" xfId="0" applyFont="1" applyFill="1" applyBorder="1" applyAlignment="1">
      <alignment horizontal="center" vertical="center" wrapText="1"/>
    </xf>
    <xf numFmtId="0" fontId="0" fillId="0" borderId="0" xfId="0" applyBorder="1" applyAlignment="1">
      <alignment horizontal="center"/>
    </xf>
    <xf numFmtId="0" fontId="0" fillId="0" borderId="14" xfId="0" applyBorder="1" applyAlignment="1">
      <alignment horizontal="center"/>
    </xf>
    <xf numFmtId="165" fontId="0" fillId="0" borderId="11" xfId="0" applyNumberFormat="1" applyBorder="1"/>
    <xf numFmtId="165" fontId="0" fillId="0" borderId="12" xfId="0" applyNumberFormat="1" applyBorder="1"/>
    <xf numFmtId="165" fontId="115" fillId="0" borderId="16" xfId="0" applyNumberFormat="1" applyFont="1" applyBorder="1"/>
    <xf numFmtId="0" fontId="133" fillId="0" borderId="0" xfId="0" applyFont="1"/>
    <xf numFmtId="0" fontId="0" fillId="0" borderId="0" xfId="0" applyFont="1" applyFill="1" applyBorder="1" applyAlignment="1">
      <alignment horizontal="left" vertical="center" wrapText="1"/>
    </xf>
    <xf numFmtId="0" fontId="0" fillId="78" borderId="0" xfId="0" applyFont="1" applyFill="1"/>
    <xf numFmtId="0" fontId="0" fillId="0" borderId="0" xfId="0" applyFont="1" applyAlignment="1">
      <alignment vertical="center"/>
    </xf>
    <xf numFmtId="0" fontId="16" fillId="0" borderId="15" xfId="0" applyFont="1" applyBorder="1" applyAlignment="1">
      <alignment vertical="center"/>
    </xf>
    <xf numFmtId="0" fontId="16" fillId="0" borderId="16" xfId="0" applyFont="1" applyBorder="1" applyAlignment="1">
      <alignment vertical="center"/>
    </xf>
    <xf numFmtId="0" fontId="0" fillId="0" borderId="16" xfId="0" applyFont="1" applyBorder="1" applyAlignment="1">
      <alignment vertical="center"/>
    </xf>
    <xf numFmtId="0" fontId="0" fillId="0" borderId="17" xfId="0" applyFont="1" applyBorder="1" applyAlignment="1">
      <alignment vertical="center"/>
    </xf>
    <xf numFmtId="0" fontId="116" fillId="0" borderId="15" xfId="157" applyFont="1" applyBorder="1"/>
    <xf numFmtId="0" fontId="116" fillId="0" borderId="13" xfId="157" applyFont="1" applyFill="1" applyBorder="1"/>
    <xf numFmtId="0" fontId="116" fillId="0" borderId="13" xfId="157" applyFont="1" applyBorder="1"/>
    <xf numFmtId="0" fontId="130" fillId="0" borderId="0" xfId="157" applyFont="1"/>
    <xf numFmtId="0" fontId="19" fillId="78" borderId="0" xfId="0" applyFont="1" applyFill="1" applyBorder="1" applyAlignment="1" applyProtection="1">
      <alignment horizontal="left" vertical="center" wrapText="1"/>
      <protection locked="0"/>
    </xf>
    <xf numFmtId="0" fontId="19" fillId="78" borderId="0" xfId="0" applyFont="1" applyFill="1" applyBorder="1" applyAlignment="1" applyProtection="1">
      <alignment horizontal="left" vertical="center"/>
      <protection locked="0"/>
    </xf>
    <xf numFmtId="0" fontId="19" fillId="78" borderId="11" xfId="0" applyFont="1" applyFill="1" applyBorder="1" applyAlignment="1" applyProtection="1">
      <alignment horizontal="left" vertical="center"/>
      <protection locked="0"/>
    </xf>
    <xf numFmtId="0" fontId="0" fillId="78" borderId="16" xfId="0" applyFill="1" applyBorder="1" applyProtection="1">
      <protection locked="0"/>
    </xf>
    <xf numFmtId="0" fontId="0" fillId="78" borderId="17" xfId="0" applyFill="1" applyBorder="1" applyProtection="1">
      <protection locked="0"/>
    </xf>
    <xf numFmtId="0" fontId="0" fillId="78" borderId="0" xfId="0" applyFill="1" applyBorder="1" applyProtection="1">
      <protection locked="0"/>
    </xf>
    <xf numFmtId="0" fontId="0" fillId="78" borderId="14" xfId="0" applyFill="1" applyBorder="1" applyProtection="1">
      <protection locked="0"/>
    </xf>
    <xf numFmtId="0" fontId="0" fillId="78" borderId="11" xfId="0" applyFill="1" applyBorder="1" applyProtection="1">
      <protection locked="0"/>
    </xf>
    <xf numFmtId="0" fontId="0" fillId="78" borderId="12" xfId="0" applyFill="1" applyBorder="1" applyProtection="1">
      <protection locked="0"/>
    </xf>
    <xf numFmtId="0" fontId="19" fillId="0" borderId="20" xfId="0" applyFont="1" applyFill="1" applyBorder="1" applyAlignment="1">
      <alignment horizontal="center" vertical="center" wrapText="1"/>
    </xf>
    <xf numFmtId="0" fontId="0" fillId="0" borderId="10" xfId="0" applyFont="1" applyBorder="1"/>
    <xf numFmtId="0" fontId="0" fillId="0" borderId="11" xfId="0" applyFont="1" applyBorder="1"/>
    <xf numFmtId="0" fontId="0" fillId="0" borderId="12" xfId="0" applyFont="1" applyBorder="1"/>
    <xf numFmtId="10" fontId="0" fillId="78" borderId="0" xfId="0" applyNumberFormat="1" applyFill="1" applyProtection="1">
      <protection locked="0"/>
    </xf>
    <xf numFmtId="185" fontId="0" fillId="78" borderId="0" xfId="0" applyNumberFormat="1" applyFill="1" applyProtection="1">
      <protection locked="0"/>
    </xf>
    <xf numFmtId="0" fontId="116" fillId="75" borderId="14" xfId="0" applyFont="1" applyFill="1" applyBorder="1" applyProtection="1">
      <protection locked="0"/>
    </xf>
    <xf numFmtId="0" fontId="116" fillId="75" borderId="12" xfId="0" applyFont="1" applyFill="1" applyBorder="1" applyProtection="1">
      <protection locked="0"/>
    </xf>
    <xf numFmtId="0" fontId="0" fillId="75" borderId="22" xfId="0" applyFill="1" applyBorder="1" applyProtection="1">
      <protection locked="0"/>
    </xf>
    <xf numFmtId="0" fontId="0" fillId="78" borderId="21" xfId="0" applyFill="1" applyBorder="1" applyAlignment="1" applyProtection="1">
      <alignment horizontal="center"/>
      <protection locked="0"/>
    </xf>
    <xf numFmtId="6" fontId="0" fillId="78" borderId="14" xfId="0" applyNumberFormat="1" applyFill="1" applyBorder="1" applyProtection="1">
      <protection locked="0"/>
    </xf>
    <xf numFmtId="6" fontId="0" fillId="78" borderId="12" xfId="0" applyNumberFormat="1" applyFill="1" applyBorder="1" applyProtection="1">
      <protection locked="0"/>
    </xf>
    <xf numFmtId="0" fontId="118" fillId="0" borderId="0" xfId="0" applyFont="1" applyFill="1" applyBorder="1" applyAlignment="1">
      <alignment horizontal="left" vertical="center" wrapText="1"/>
    </xf>
    <xf numFmtId="0" fontId="118" fillId="0" borderId="0" xfId="0" applyFont="1" applyFill="1" applyBorder="1" applyAlignment="1">
      <alignment horizontal="center" vertical="center" wrapText="1"/>
    </xf>
    <xf numFmtId="0" fontId="112" fillId="0" borderId="13" xfId="0" applyFont="1" applyFill="1" applyBorder="1" applyAlignment="1">
      <alignment horizontal="left" vertical="center" wrapText="1"/>
    </xf>
    <xf numFmtId="0" fontId="19" fillId="0" borderId="14" xfId="0" applyFont="1" applyFill="1" applyBorder="1" applyAlignment="1">
      <alignment horizontal="center" vertical="center" wrapText="1"/>
    </xf>
    <xf numFmtId="0" fontId="112" fillId="0" borderId="13" xfId="0" applyFont="1" applyBorder="1"/>
    <xf numFmtId="0" fontId="29" fillId="0" borderId="0" xfId="0" applyFont="1"/>
    <xf numFmtId="10" fontId="135" fillId="81" borderId="0" xfId="0" applyNumberFormat="1" applyFont="1" applyFill="1"/>
    <xf numFmtId="10" fontId="82" fillId="0" borderId="0" xfId="0" applyNumberFormat="1" applyFont="1" applyFill="1"/>
    <xf numFmtId="0" fontId="0" fillId="0" borderId="0" xfId="0" applyFont="1" applyAlignment="1">
      <alignment wrapText="1"/>
    </xf>
    <xf numFmtId="0" fontId="112" fillId="77" borderId="22" xfId="0" applyFont="1" applyFill="1" applyBorder="1" applyAlignment="1">
      <alignment wrapText="1"/>
    </xf>
    <xf numFmtId="0" fontId="48" fillId="0" borderId="0" xfId="157"/>
    <xf numFmtId="0" fontId="0" fillId="0" borderId="0" xfId="0" applyAlignment="1">
      <alignment wrapText="1"/>
    </xf>
    <xf numFmtId="0" fontId="115" fillId="0" borderId="17" xfId="0" applyFont="1" applyBorder="1"/>
    <xf numFmtId="9" fontId="0" fillId="78" borderId="11" xfId="0" applyNumberFormat="1" applyFill="1" applyBorder="1" applyProtection="1">
      <protection locked="0"/>
    </xf>
    <xf numFmtId="0" fontId="113" fillId="0" borderId="12" xfId="0" quotePrefix="1" applyFont="1" applyBorder="1"/>
    <xf numFmtId="0" fontId="99" fillId="0" borderId="15" xfId="0" applyFont="1" applyBorder="1"/>
    <xf numFmtId="0" fontId="99" fillId="0" borderId="15" xfId="0" applyFont="1" applyFill="1" applyBorder="1" applyAlignment="1">
      <alignment vertical="center"/>
    </xf>
    <xf numFmtId="0" fontId="112" fillId="77" borderId="20" xfId="0" applyFont="1" applyFill="1" applyBorder="1" applyAlignment="1">
      <alignment wrapText="1"/>
    </xf>
    <xf numFmtId="0" fontId="129" fillId="79" borderId="16" xfId="157" applyFont="1" applyFill="1" applyBorder="1" applyAlignment="1">
      <alignment horizontal="left" vertical="center" wrapText="1"/>
    </xf>
    <xf numFmtId="0" fontId="0" fillId="79" borderId="17" xfId="0" applyFill="1" applyBorder="1" applyAlignment="1">
      <alignment horizontal="left" vertical="center" wrapText="1"/>
    </xf>
    <xf numFmtId="0" fontId="0" fillId="79" borderId="14" xfId="0" applyFill="1" applyBorder="1" applyAlignment="1">
      <alignment horizontal="left" vertical="center" wrapText="1"/>
    </xf>
    <xf numFmtId="0" fontId="129" fillId="79" borderId="11" xfId="157" applyFont="1" applyFill="1" applyBorder="1" applyAlignment="1">
      <alignment horizontal="left" vertical="center" wrapText="1"/>
    </xf>
    <xf numFmtId="0" fontId="0" fillId="79" borderId="12" xfId="0" applyFont="1" applyFill="1" applyBorder="1" applyAlignment="1">
      <alignment vertical="center" wrapText="1"/>
    </xf>
    <xf numFmtId="0" fontId="0" fillId="79" borderId="15" xfId="0" applyFill="1" applyBorder="1" applyAlignment="1">
      <alignment horizontal="left" vertical="center"/>
    </xf>
    <xf numFmtId="0" fontId="0" fillId="79" borderId="16" xfId="0" applyFont="1" applyFill="1" applyBorder="1" applyAlignment="1">
      <alignment horizontal="left" vertical="center" wrapText="1"/>
    </xf>
    <xf numFmtId="0" fontId="0" fillId="79" borderId="12" xfId="0" applyFill="1" applyBorder="1" applyAlignment="1">
      <alignment horizontal="left" vertical="center" wrapText="1"/>
    </xf>
    <xf numFmtId="0" fontId="0" fillId="79" borderId="16" xfId="0" applyFill="1" applyBorder="1" applyAlignment="1">
      <alignment horizontal="left" vertical="center"/>
    </xf>
    <xf numFmtId="0" fontId="116" fillId="79" borderId="16" xfId="0" applyFont="1" applyFill="1" applyBorder="1" applyAlignment="1">
      <alignment horizontal="left" vertical="center" wrapText="1"/>
    </xf>
    <xf numFmtId="0" fontId="130" fillId="79" borderId="16" xfId="157" applyFont="1" applyFill="1" applyBorder="1" applyAlignment="1">
      <alignment horizontal="left" vertical="center" wrapText="1"/>
    </xf>
    <xf numFmtId="0" fontId="130" fillId="79" borderId="11" xfId="157" applyFont="1" applyFill="1" applyBorder="1" applyAlignment="1">
      <alignment horizontal="left" vertical="center" wrapText="1"/>
    </xf>
    <xf numFmtId="0" fontId="0" fillId="77" borderId="19" xfId="0" applyFill="1" applyBorder="1" applyAlignment="1">
      <alignment horizontal="left" vertical="center"/>
    </xf>
    <xf numFmtId="0" fontId="0" fillId="77" borderId="20" xfId="0" applyFont="1" applyFill="1" applyBorder="1" applyAlignment="1">
      <alignment horizontal="left" vertical="center" wrapText="1"/>
    </xf>
    <xf numFmtId="0" fontId="0" fillId="77" borderId="0" xfId="0" applyFill="1" applyBorder="1" applyAlignment="1">
      <alignment horizontal="left" vertical="center" wrapText="1"/>
    </xf>
    <xf numFmtId="0" fontId="0" fillId="77" borderId="20" xfId="0" applyFill="1" applyBorder="1" applyAlignment="1">
      <alignment horizontal="left" vertical="center"/>
    </xf>
    <xf numFmtId="0" fontId="0" fillId="77" borderId="22" xfId="0" applyFill="1" applyBorder="1" applyAlignment="1">
      <alignment vertical="center" wrapText="1"/>
    </xf>
    <xf numFmtId="0" fontId="0" fillId="77" borderId="17" xfId="0" applyFill="1" applyBorder="1" applyAlignment="1">
      <alignment horizontal="left" vertical="center" wrapText="1"/>
    </xf>
    <xf numFmtId="0" fontId="0" fillId="77" borderId="14" xfId="0" applyFill="1" applyBorder="1" applyAlignment="1">
      <alignment horizontal="left" vertical="center" wrapText="1"/>
    </xf>
    <xf numFmtId="0" fontId="0" fillId="77" borderId="22" xfId="0" applyFill="1" applyBorder="1" applyAlignment="1">
      <alignment horizontal="left" vertical="center" wrapText="1"/>
    </xf>
    <xf numFmtId="0" fontId="112" fillId="78" borderId="0" xfId="0" applyFont="1" applyFill="1"/>
    <xf numFmtId="0" fontId="118" fillId="0" borderId="0" xfId="0" applyFont="1"/>
    <xf numFmtId="0" fontId="118" fillId="0" borderId="0" xfId="0" quotePrefix="1" applyFont="1"/>
    <xf numFmtId="0" fontId="125" fillId="0" borderId="0" xfId="0" applyFont="1"/>
    <xf numFmtId="164" fontId="0" fillId="0" borderId="0" xfId="0" applyNumberFormat="1" applyFont="1" applyAlignment="1">
      <alignment horizontal="left"/>
    </xf>
    <xf numFmtId="0" fontId="19" fillId="77" borderId="0" xfId="0" applyFont="1" applyFill="1" applyBorder="1" applyAlignment="1" applyProtection="1">
      <alignment horizontal="left" vertical="center"/>
      <protection locked="0"/>
    </xf>
    <xf numFmtId="1" fontId="0" fillId="0" borderId="0" xfId="0" applyNumberFormat="1"/>
    <xf numFmtId="0" fontId="129" fillId="0" borderId="0" xfId="157" applyFont="1"/>
    <xf numFmtId="0" fontId="0" fillId="0" borderId="0" xfId="0" applyFont="1" applyBorder="1" applyAlignment="1">
      <alignment wrapText="1"/>
    </xf>
    <xf numFmtId="0" fontId="0" fillId="0" borderId="14" xfId="0" applyFont="1" applyBorder="1" applyAlignment="1">
      <alignment wrapText="1"/>
    </xf>
    <xf numFmtId="0" fontId="0" fillId="77" borderId="15" xfId="0" applyFill="1" applyBorder="1" applyAlignment="1">
      <alignment horizontal="left" wrapText="1"/>
    </xf>
    <xf numFmtId="0" fontId="0" fillId="77" borderId="16" xfId="0" applyFill="1" applyBorder="1" applyAlignment="1">
      <alignment horizontal="left" wrapText="1"/>
    </xf>
    <xf numFmtId="0" fontId="0" fillId="77" borderId="17" xfId="0" applyFill="1" applyBorder="1" applyAlignment="1">
      <alignment horizontal="left" wrapText="1"/>
    </xf>
    <xf numFmtId="0" fontId="0" fillId="77" borderId="13" xfId="0" applyFill="1" applyBorder="1" applyAlignment="1">
      <alignment horizontal="left" wrapText="1"/>
    </xf>
    <xf numFmtId="0" fontId="0" fillId="77" borderId="0" xfId="0" applyFill="1" applyBorder="1" applyAlignment="1">
      <alignment horizontal="left" wrapText="1"/>
    </xf>
    <xf numFmtId="0" fontId="0" fillId="77" borderId="14" xfId="0" applyFill="1" applyBorder="1" applyAlignment="1">
      <alignment horizontal="left" wrapText="1"/>
    </xf>
    <xf numFmtId="0" fontId="0" fillId="77" borderId="10" xfId="0" applyFill="1" applyBorder="1" applyAlignment="1">
      <alignment horizontal="left" wrapText="1"/>
    </xf>
    <xf numFmtId="0" fontId="0" fillId="77" borderId="11" xfId="0" applyFill="1" applyBorder="1" applyAlignment="1">
      <alignment horizontal="left" wrapText="1"/>
    </xf>
    <xf numFmtId="0" fontId="0" fillId="77" borderId="12" xfId="0" applyFill="1" applyBorder="1" applyAlignment="1">
      <alignment horizontal="left" wrapText="1"/>
    </xf>
    <xf numFmtId="0" fontId="134" fillId="77" borderId="15" xfId="0" applyFont="1" applyFill="1" applyBorder="1" applyAlignment="1">
      <alignment horizontal="left" vertical="top" wrapText="1"/>
    </xf>
    <xf numFmtId="0" fontId="134" fillId="77" borderId="16" xfId="0" applyFont="1" applyFill="1" applyBorder="1" applyAlignment="1">
      <alignment horizontal="left" vertical="top" wrapText="1"/>
    </xf>
    <xf numFmtId="0" fontId="134" fillId="77" borderId="17" xfId="0" applyFont="1" applyFill="1" applyBorder="1" applyAlignment="1">
      <alignment horizontal="left" vertical="top" wrapText="1"/>
    </xf>
    <xf numFmtId="0" fontId="134" fillId="77" borderId="13" xfId="0" applyFont="1" applyFill="1" applyBorder="1" applyAlignment="1">
      <alignment horizontal="left" vertical="top" wrapText="1"/>
    </xf>
    <xf numFmtId="0" fontId="134" fillId="77" borderId="0" xfId="0" applyFont="1" applyFill="1" applyBorder="1" applyAlignment="1">
      <alignment horizontal="left" vertical="top" wrapText="1"/>
    </xf>
    <xf numFmtId="0" fontId="134" fillId="77" borderId="14" xfId="0" applyFont="1" applyFill="1" applyBorder="1" applyAlignment="1">
      <alignment horizontal="left" vertical="top" wrapText="1"/>
    </xf>
    <xf numFmtId="0" fontId="134" fillId="77" borderId="10" xfId="0" applyFont="1" applyFill="1" applyBorder="1" applyAlignment="1">
      <alignment horizontal="left" vertical="top" wrapText="1"/>
    </xf>
    <xf numFmtId="0" fontId="134" fillId="77" borderId="11" xfId="0" applyFont="1" applyFill="1" applyBorder="1" applyAlignment="1">
      <alignment horizontal="left" vertical="top" wrapText="1"/>
    </xf>
    <xf numFmtId="0" fontId="134" fillId="77" borderId="12" xfId="0" applyFont="1" applyFill="1" applyBorder="1" applyAlignment="1">
      <alignment horizontal="left" vertical="top" wrapText="1"/>
    </xf>
    <xf numFmtId="0" fontId="0" fillId="0" borderId="16" xfId="0" applyFont="1" applyBorder="1" applyAlignment="1">
      <alignment wrapText="1"/>
    </xf>
    <xf numFmtId="0" fontId="0" fillId="0" borderId="17" xfId="0" applyFont="1" applyBorder="1" applyAlignment="1">
      <alignment wrapText="1"/>
    </xf>
    <xf numFmtId="0" fontId="0" fillId="0" borderId="0" xfId="0" applyFont="1" applyFill="1" applyBorder="1" applyAlignment="1">
      <alignment wrapText="1"/>
    </xf>
    <xf numFmtId="0" fontId="0" fillId="0" borderId="14" xfId="0" applyFont="1" applyFill="1" applyBorder="1" applyAlignment="1">
      <alignment wrapText="1"/>
    </xf>
    <xf numFmtId="0" fontId="132" fillId="79" borderId="41" xfId="0" applyFont="1" applyFill="1" applyBorder="1" applyAlignment="1">
      <alignment horizontal="left" vertical="center" wrapText="1"/>
    </xf>
    <xf numFmtId="0" fontId="132" fillId="79" borderId="13" xfId="0" applyFont="1" applyFill="1" applyBorder="1" applyAlignment="1">
      <alignment horizontal="left" vertical="center" wrapText="1"/>
    </xf>
    <xf numFmtId="0" fontId="132" fillId="79" borderId="18" xfId="0" applyFont="1" applyFill="1" applyBorder="1" applyAlignment="1">
      <alignment horizontal="left" vertical="center" wrapText="1"/>
    </xf>
    <xf numFmtId="0" fontId="132" fillId="77" borderId="41" xfId="0" applyFont="1" applyFill="1" applyBorder="1" applyAlignment="1">
      <alignment horizontal="left" vertical="center" wrapText="1"/>
    </xf>
    <xf numFmtId="0" fontId="132" fillId="77" borderId="13" xfId="0" applyFont="1" applyFill="1" applyBorder="1" applyAlignment="1">
      <alignment horizontal="left" vertical="center" wrapText="1"/>
    </xf>
    <xf numFmtId="0" fontId="132" fillId="77" borderId="18" xfId="0" applyFont="1" applyFill="1" applyBorder="1" applyAlignment="1">
      <alignment horizontal="left" vertical="center" wrapText="1"/>
    </xf>
    <xf numFmtId="0" fontId="132" fillId="77" borderId="10" xfId="0" applyFont="1" applyFill="1" applyBorder="1" applyAlignment="1">
      <alignment horizontal="left" vertical="center" wrapText="1"/>
    </xf>
    <xf numFmtId="0" fontId="0" fillId="76" borderId="15" xfId="0" applyFill="1" applyBorder="1" applyAlignment="1">
      <alignment horizontal="center" wrapText="1"/>
    </xf>
    <xf numFmtId="0" fontId="0" fillId="76" borderId="17" xfId="0" applyFill="1" applyBorder="1" applyAlignment="1">
      <alignment horizontal="center" wrapText="1"/>
    </xf>
    <xf numFmtId="0" fontId="0" fillId="76" borderId="10" xfId="0" applyFill="1" applyBorder="1" applyAlignment="1">
      <alignment horizontal="center" wrapText="1"/>
    </xf>
    <xf numFmtId="0" fontId="0" fillId="76" borderId="12" xfId="0" applyFill="1" applyBorder="1" applyAlignment="1">
      <alignment horizontal="center" wrapText="1"/>
    </xf>
    <xf numFmtId="0" fontId="112" fillId="77" borderId="15" xfId="0" applyFont="1" applyFill="1" applyBorder="1" applyAlignment="1">
      <alignment horizontal="center" vertical="center"/>
    </xf>
    <xf numFmtId="0" fontId="112" fillId="77" borderId="16" xfId="0" applyFont="1" applyFill="1" applyBorder="1" applyAlignment="1">
      <alignment horizontal="center" vertical="center"/>
    </xf>
    <xf numFmtId="0" fontId="112" fillId="79" borderId="15" xfId="0" applyFont="1" applyFill="1" applyBorder="1" applyAlignment="1">
      <alignment horizontal="center" vertical="center"/>
    </xf>
    <xf numFmtId="0" fontId="112" fillId="79" borderId="16" xfId="0" applyFont="1" applyFill="1" applyBorder="1" applyAlignment="1">
      <alignment horizontal="center" vertical="center"/>
    </xf>
    <xf numFmtId="0" fontId="112" fillId="79" borderId="17" xfId="0" applyFont="1" applyFill="1" applyBorder="1" applyAlignment="1">
      <alignment horizontal="center" vertical="center"/>
    </xf>
    <xf numFmtId="0" fontId="112" fillId="77" borderId="17" xfId="0" applyFont="1" applyFill="1" applyBorder="1" applyAlignment="1">
      <alignment horizontal="center" vertical="center"/>
    </xf>
    <xf numFmtId="0" fontId="118" fillId="0" borderId="0" xfId="0" quotePrefix="1" applyFont="1" applyAlignment="1">
      <alignment horizontal="left" vertical="center" wrapText="1"/>
    </xf>
    <xf numFmtId="0" fontId="118" fillId="76" borderId="15" xfId="0" applyFont="1" applyFill="1" applyBorder="1" applyAlignment="1">
      <alignment horizontal="center" vertical="center" wrapText="1"/>
    </xf>
    <xf numFmtId="0" fontId="118" fillId="76" borderId="16" xfId="0" applyFont="1" applyFill="1" applyBorder="1" applyAlignment="1">
      <alignment horizontal="center" vertical="center" wrapText="1"/>
    </xf>
    <xf numFmtId="0" fontId="118" fillId="76" borderId="17" xfId="0" applyFont="1" applyFill="1" applyBorder="1" applyAlignment="1">
      <alignment horizontal="center" vertical="center" wrapText="1"/>
    </xf>
    <xf numFmtId="0" fontId="118" fillId="76" borderId="10" xfId="0" applyFont="1" applyFill="1" applyBorder="1" applyAlignment="1">
      <alignment horizontal="center" vertical="center" wrapText="1"/>
    </xf>
    <xf numFmtId="0" fontId="118" fillId="76" borderId="11" xfId="0" applyFont="1" applyFill="1" applyBorder="1" applyAlignment="1">
      <alignment horizontal="center" vertical="center" wrapText="1"/>
    </xf>
    <xf numFmtId="0" fontId="118" fillId="76" borderId="12" xfId="0" applyFont="1" applyFill="1" applyBorder="1" applyAlignment="1">
      <alignment horizontal="center" vertical="center" wrapText="1"/>
    </xf>
    <xf numFmtId="0" fontId="118" fillId="0" borderId="0" xfId="0" applyFont="1" applyAlignment="1">
      <alignment horizontal="left" vertical="center" wrapText="1"/>
    </xf>
    <xf numFmtId="0" fontId="123" fillId="0" borderId="11" xfId="0" applyFont="1" applyBorder="1" applyAlignment="1">
      <alignment horizontal="right" vertical="top"/>
    </xf>
    <xf numFmtId="0" fontId="120" fillId="77" borderId="20" xfId="0" applyFont="1" applyFill="1" applyBorder="1" applyAlignment="1">
      <alignment horizontal="center" vertical="center"/>
    </xf>
    <xf numFmtId="0" fontId="120" fillId="77" borderId="22" xfId="0" applyFont="1" applyFill="1" applyBorder="1" applyAlignment="1">
      <alignment horizontal="center" vertical="center"/>
    </xf>
    <xf numFmtId="0" fontId="118" fillId="0" borderId="0" xfId="0" applyFont="1" applyFill="1" applyBorder="1" applyAlignment="1">
      <alignment horizontal="left" vertical="center" wrapText="1"/>
    </xf>
    <xf numFmtId="0" fontId="120" fillId="80" borderId="14" xfId="0" applyFont="1" applyFill="1" applyBorder="1" applyAlignment="1">
      <alignment horizontal="center" vertical="center"/>
    </xf>
    <xf numFmtId="0" fontId="120" fillId="80" borderId="12" xfId="0" applyFont="1" applyFill="1" applyBorder="1" applyAlignment="1">
      <alignment horizontal="center" vertical="center"/>
    </xf>
    <xf numFmtId="0" fontId="120" fillId="77" borderId="0" xfId="0" applyFont="1" applyFill="1" applyBorder="1" applyAlignment="1">
      <alignment horizontal="center" vertical="center"/>
    </xf>
    <xf numFmtId="0" fontId="120" fillId="77" borderId="14" xfId="0" applyFont="1" applyFill="1" applyBorder="1" applyAlignment="1">
      <alignment horizontal="center" vertical="center"/>
    </xf>
    <xf numFmtId="0" fontId="120" fillId="77" borderId="11" xfId="0" applyFont="1" applyFill="1" applyBorder="1" applyAlignment="1">
      <alignment horizontal="center" vertical="center"/>
    </xf>
    <xf numFmtId="0" fontId="120" fillId="77" borderId="12" xfId="0" applyFont="1" applyFill="1" applyBorder="1" applyAlignment="1">
      <alignment horizontal="center" vertical="center"/>
    </xf>
    <xf numFmtId="0" fontId="31" fillId="77" borderId="20" xfId="0" applyFont="1" applyFill="1" applyBorder="1" applyAlignment="1">
      <alignment horizontal="center" vertical="center"/>
    </xf>
    <xf numFmtId="0" fontId="31" fillId="77" borderId="22" xfId="0" applyFont="1" applyFill="1" applyBorder="1" applyAlignment="1">
      <alignment horizontal="center" vertical="center"/>
    </xf>
    <xf numFmtId="0" fontId="31" fillId="80" borderId="20" xfId="0" applyFont="1" applyFill="1" applyBorder="1" applyAlignment="1">
      <alignment horizontal="center" vertical="center"/>
    </xf>
    <xf numFmtId="0" fontId="31" fillId="80" borderId="22" xfId="0" applyFont="1" applyFill="1" applyBorder="1" applyAlignment="1">
      <alignment horizontal="center" vertical="center"/>
    </xf>
    <xf numFmtId="0" fontId="120" fillId="80" borderId="0" xfId="0" applyFont="1" applyFill="1" applyBorder="1" applyAlignment="1">
      <alignment horizontal="center" vertical="center"/>
    </xf>
    <xf numFmtId="9" fontId="31" fillId="39" borderId="0" xfId="0" applyNumberFormat="1" applyFont="1" applyFill="1" applyAlignment="1">
      <alignment horizontal="center"/>
    </xf>
    <xf numFmtId="0" fontId="19" fillId="80" borderId="41" xfId="0" applyFont="1" applyFill="1" applyBorder="1" applyAlignment="1">
      <alignment horizontal="center" vertical="center" wrapText="1"/>
    </xf>
    <xf numFmtId="0" fontId="19" fillId="80" borderId="18" xfId="0" applyFont="1" applyFill="1" applyBorder="1" applyAlignment="1">
      <alignment horizontal="center" vertical="center" wrapText="1"/>
    </xf>
    <xf numFmtId="0" fontId="19" fillId="80" borderId="42" xfId="0" applyFont="1" applyFill="1" applyBorder="1" applyAlignment="1">
      <alignment horizontal="center" vertical="center" wrapText="1"/>
    </xf>
    <xf numFmtId="0" fontId="19" fillId="77" borderId="41" xfId="0" applyFont="1" applyFill="1" applyBorder="1" applyAlignment="1">
      <alignment horizontal="center" vertical="center" wrapText="1"/>
    </xf>
    <xf numFmtId="0" fontId="19" fillId="77" borderId="18" xfId="0" applyFont="1" applyFill="1" applyBorder="1" applyAlignment="1">
      <alignment horizontal="center" vertical="center" wrapText="1"/>
    </xf>
    <xf numFmtId="0" fontId="19" fillId="77" borderId="42" xfId="0" applyFont="1" applyFill="1" applyBorder="1" applyAlignment="1">
      <alignment horizontal="center" vertical="center" wrapText="1"/>
    </xf>
    <xf numFmtId="0" fontId="31" fillId="77" borderId="20" xfId="0" applyFont="1" applyFill="1" applyBorder="1" applyAlignment="1">
      <alignment horizontal="left" vertical="center"/>
    </xf>
    <xf numFmtId="0" fontId="31" fillId="77" borderId="22" xfId="0" applyFont="1" applyFill="1" applyBorder="1" applyAlignment="1">
      <alignment horizontal="left" vertical="center"/>
    </xf>
    <xf numFmtId="0" fontId="120" fillId="77" borderId="16" xfId="0" applyFont="1" applyFill="1" applyBorder="1" applyAlignment="1">
      <alignment horizontal="center" vertical="center"/>
    </xf>
    <xf numFmtId="0" fontId="120" fillId="77" borderId="17" xfId="0" applyFont="1" applyFill="1" applyBorder="1" applyAlignment="1">
      <alignment horizontal="center" vertical="center"/>
    </xf>
    <xf numFmtId="0" fontId="31" fillId="39" borderId="0" xfId="0" applyFont="1" applyFill="1" applyAlignment="1">
      <alignment horizontal="center"/>
    </xf>
    <xf numFmtId="0" fontId="19" fillId="76" borderId="19" xfId="0" applyFont="1" applyFill="1" applyBorder="1" applyAlignment="1">
      <alignment horizontal="center" vertical="center" wrapText="1"/>
    </xf>
    <xf numFmtId="0" fontId="19" fillId="76" borderId="20" xfId="0" applyFont="1" applyFill="1" applyBorder="1" applyAlignment="1">
      <alignment horizontal="center" vertical="center" wrapText="1"/>
    </xf>
    <xf numFmtId="0" fontId="19" fillId="76" borderId="22" xfId="0" applyFont="1" applyFill="1" applyBorder="1" applyAlignment="1">
      <alignment horizontal="center" vertical="center" wrapText="1"/>
    </xf>
    <xf numFmtId="0" fontId="120" fillId="77" borderId="20" xfId="0" applyFont="1" applyFill="1" applyBorder="1" applyAlignment="1">
      <alignment horizontal="center" vertical="center" wrapText="1"/>
    </xf>
    <xf numFmtId="0" fontId="120" fillId="77" borderId="22" xfId="0" applyFont="1" applyFill="1" applyBorder="1" applyAlignment="1">
      <alignment horizontal="center" vertical="center" wrapText="1"/>
    </xf>
    <xf numFmtId="0" fontId="19" fillId="39" borderId="0" xfId="0" applyFont="1" applyFill="1" applyAlignment="1">
      <alignment horizontal="center"/>
    </xf>
    <xf numFmtId="0" fontId="19" fillId="76" borderId="19" xfId="0" applyFont="1" applyFill="1" applyBorder="1" applyAlignment="1">
      <alignment horizontal="center" vertical="center"/>
    </xf>
    <xf numFmtId="0" fontId="19" fillId="76" borderId="20" xfId="0" applyFont="1" applyFill="1" applyBorder="1" applyAlignment="1">
      <alignment horizontal="center" vertical="center"/>
    </xf>
    <xf numFmtId="0" fontId="19" fillId="76" borderId="22" xfId="0" applyFont="1" applyFill="1" applyBorder="1" applyAlignment="1">
      <alignment horizontal="center" vertical="center"/>
    </xf>
    <xf numFmtId="0" fontId="19" fillId="76" borderId="15" xfId="0" applyFont="1" applyFill="1" applyBorder="1" applyAlignment="1">
      <alignment horizontal="center" vertical="center" wrapText="1"/>
    </xf>
    <xf numFmtId="0" fontId="19" fillId="76" borderId="16" xfId="0" applyFont="1" applyFill="1" applyBorder="1" applyAlignment="1">
      <alignment horizontal="center" vertical="center" wrapText="1"/>
    </xf>
    <xf numFmtId="0" fontId="19" fillId="76" borderId="17" xfId="0" applyFont="1" applyFill="1" applyBorder="1" applyAlignment="1">
      <alignment horizontal="center" vertical="center" wrapText="1"/>
    </xf>
    <xf numFmtId="0" fontId="19" fillId="76" borderId="13" xfId="0" applyFont="1" applyFill="1" applyBorder="1" applyAlignment="1">
      <alignment horizontal="center" vertical="center" wrapText="1"/>
    </xf>
    <xf numFmtId="0" fontId="19" fillId="76" borderId="0" xfId="0" applyFont="1" applyFill="1" applyBorder="1" applyAlignment="1">
      <alignment horizontal="center" vertical="center" wrapText="1"/>
    </xf>
    <xf numFmtId="0" fontId="19" fillId="76" borderId="14" xfId="0" applyFont="1" applyFill="1" applyBorder="1" applyAlignment="1">
      <alignment horizontal="center" vertical="center" wrapText="1"/>
    </xf>
    <xf numFmtId="0" fontId="19" fillId="76" borderId="10" xfId="0" applyFont="1" applyFill="1" applyBorder="1" applyAlignment="1">
      <alignment horizontal="center" vertical="center" wrapText="1"/>
    </xf>
    <xf numFmtId="0" fontId="19" fillId="76" borderId="11" xfId="0" applyFont="1" applyFill="1" applyBorder="1" applyAlignment="1">
      <alignment horizontal="center" vertical="center" wrapText="1"/>
    </xf>
    <xf numFmtId="0" fontId="19" fillId="76" borderId="12" xfId="0" applyFont="1" applyFill="1" applyBorder="1" applyAlignment="1">
      <alignment horizontal="center" vertical="center" wrapText="1"/>
    </xf>
    <xf numFmtId="0" fontId="0" fillId="76" borderId="15" xfId="0" applyFill="1" applyBorder="1" applyAlignment="1">
      <alignment horizontal="center" vertical="center" wrapText="1"/>
    </xf>
    <xf numFmtId="0" fontId="0" fillId="76" borderId="16" xfId="0" applyFill="1" applyBorder="1" applyAlignment="1">
      <alignment horizontal="center" vertical="center" wrapText="1"/>
    </xf>
    <xf numFmtId="0" fontId="0" fillId="76" borderId="17" xfId="0" applyFill="1" applyBorder="1" applyAlignment="1">
      <alignment horizontal="center" vertical="center" wrapText="1"/>
    </xf>
    <xf numFmtId="0" fontId="0" fillId="76" borderId="13" xfId="0" applyFill="1" applyBorder="1" applyAlignment="1">
      <alignment horizontal="center" vertical="center" wrapText="1"/>
    </xf>
    <xf numFmtId="0" fontId="0" fillId="76" borderId="0" xfId="0" applyFill="1" applyBorder="1" applyAlignment="1">
      <alignment horizontal="center" vertical="center" wrapText="1"/>
    </xf>
    <xf numFmtId="0" fontId="0" fillId="76" borderId="14" xfId="0" applyFill="1" applyBorder="1" applyAlignment="1">
      <alignment horizontal="center" vertical="center" wrapText="1"/>
    </xf>
    <xf numFmtId="0" fontId="0" fillId="76" borderId="10" xfId="0" applyFill="1" applyBorder="1" applyAlignment="1">
      <alignment horizontal="center" vertical="center" wrapText="1"/>
    </xf>
    <xf numFmtId="0" fontId="0" fillId="76" borderId="11" xfId="0" applyFill="1" applyBorder="1" applyAlignment="1">
      <alignment horizontal="center" vertical="center" wrapText="1"/>
    </xf>
    <xf numFmtId="0" fontId="0" fillId="76" borderId="12" xfId="0" applyFill="1" applyBorder="1" applyAlignment="1">
      <alignment horizontal="center" vertical="center" wrapText="1"/>
    </xf>
    <xf numFmtId="0" fontId="0" fillId="80" borderId="15" xfId="0" applyFill="1" applyBorder="1" applyAlignment="1">
      <alignment horizontal="center" vertical="center" wrapText="1"/>
    </xf>
    <xf numFmtId="0" fontId="0" fillId="80" borderId="13" xfId="0" applyFill="1" applyBorder="1" applyAlignment="1">
      <alignment horizontal="center" vertical="center" wrapText="1"/>
    </xf>
    <xf numFmtId="0" fontId="0" fillId="80" borderId="10" xfId="0" applyFill="1" applyBorder="1" applyAlignment="1">
      <alignment horizontal="center" vertical="center" wrapText="1"/>
    </xf>
    <xf numFmtId="0" fontId="0" fillId="77" borderId="15" xfId="0" applyFill="1" applyBorder="1" applyAlignment="1">
      <alignment horizontal="center" vertical="center" wrapText="1"/>
    </xf>
    <xf numFmtId="0" fontId="0" fillId="77" borderId="13" xfId="0" applyFill="1" applyBorder="1" applyAlignment="1">
      <alignment horizontal="center" vertical="center" wrapText="1"/>
    </xf>
    <xf numFmtId="0" fontId="0" fillId="77" borderId="10" xfId="0" applyFill="1" applyBorder="1" applyAlignment="1">
      <alignment horizontal="center" vertical="center" wrapText="1"/>
    </xf>
    <xf numFmtId="0" fontId="0" fillId="76" borderId="15" xfId="0" applyFill="1" applyBorder="1" applyAlignment="1">
      <alignment horizontal="left" vertical="center" wrapText="1"/>
    </xf>
    <xf numFmtId="0" fontId="0" fillId="76" borderId="16" xfId="0" applyFill="1" applyBorder="1" applyAlignment="1">
      <alignment horizontal="left" vertical="center" wrapText="1"/>
    </xf>
    <xf numFmtId="0" fontId="0" fillId="76" borderId="17" xfId="0" applyFill="1" applyBorder="1" applyAlignment="1">
      <alignment horizontal="left" vertical="center" wrapText="1"/>
    </xf>
    <xf numFmtId="0" fontId="0" fillId="76" borderId="13" xfId="0" applyFill="1" applyBorder="1" applyAlignment="1">
      <alignment horizontal="left" vertical="center" wrapText="1"/>
    </xf>
    <xf numFmtId="0" fontId="0" fillId="76" borderId="0" xfId="0" applyFill="1" applyBorder="1" applyAlignment="1">
      <alignment horizontal="left" vertical="center" wrapText="1"/>
    </xf>
    <xf numFmtId="0" fontId="0" fillId="76" borderId="14" xfId="0" applyFill="1" applyBorder="1" applyAlignment="1">
      <alignment horizontal="left" vertical="center" wrapText="1"/>
    </xf>
    <xf numFmtId="0" fontId="0" fillId="76" borderId="10" xfId="0" applyFill="1" applyBorder="1" applyAlignment="1">
      <alignment horizontal="left" vertical="center" wrapText="1"/>
    </xf>
    <xf numFmtId="0" fontId="0" fillId="76" borderId="11" xfId="0" applyFill="1" applyBorder="1" applyAlignment="1">
      <alignment horizontal="left" vertical="center" wrapText="1"/>
    </xf>
    <xf numFmtId="0" fontId="0" fillId="76" borderId="12" xfId="0" applyFill="1" applyBorder="1" applyAlignment="1">
      <alignment horizontal="left"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16" fillId="0" borderId="19"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22" xfId="0" applyFont="1" applyFill="1" applyBorder="1" applyAlignment="1">
      <alignment horizontal="center" vertical="center"/>
    </xf>
    <xf numFmtId="0" fontId="14" fillId="0" borderId="0" xfId="0" applyFont="1" applyAlignment="1">
      <alignment horizontal="center" wrapText="1"/>
    </xf>
  </cellXfs>
  <cellStyles count="622">
    <cellStyle name="%" xfId="160"/>
    <cellStyle name="% 2" xfId="161"/>
    <cellStyle name="% 3" xfId="162"/>
    <cellStyle name="%_PEF FSBR2011" xfId="163"/>
    <cellStyle name="]_x000d__x000a_Zoomed=1_x000d__x000a_Row=0_x000d__x000a_Column=0_x000d__x000a_Height=0_x000d__x000a_Width=0_x000d__x000a_FontName=FoxFont_x000d__x000a_FontStyle=0_x000d__x000a_FontSize=9_x000d__x000a_PrtFontName=FoxPrin" xfId="164"/>
    <cellStyle name="_TableHead" xfId="165"/>
    <cellStyle name="1dp" xfId="166"/>
    <cellStyle name="1dp 2" xfId="167"/>
    <cellStyle name="20% - Accent1 2" xfId="130"/>
    <cellStyle name="20% - Accent1 2 2" xfId="168"/>
    <cellStyle name="20% - Accent1 3" xfId="169"/>
    <cellStyle name="20% - Accent1 4" xfId="81"/>
    <cellStyle name="20% - Accent1 5" xfId="34"/>
    <cellStyle name="20% - Accent2 2" xfId="134"/>
    <cellStyle name="20% - Accent2 2 2" xfId="170"/>
    <cellStyle name="20% - Accent2 3" xfId="171"/>
    <cellStyle name="20% - Accent2 4" xfId="85"/>
    <cellStyle name="20% - Accent2 5" xfId="38"/>
    <cellStyle name="20% - Accent3 2" xfId="138"/>
    <cellStyle name="20% - Accent3 2 2" xfId="172"/>
    <cellStyle name="20% - Accent3 3" xfId="173"/>
    <cellStyle name="20% - Accent3 4" xfId="89"/>
    <cellStyle name="20% - Accent3 5" xfId="42"/>
    <cellStyle name="20% - Accent4 2" xfId="142"/>
    <cellStyle name="20% - Accent4 2 2" xfId="174"/>
    <cellStyle name="20% - Accent4 3" xfId="175"/>
    <cellStyle name="20% - Accent4 4" xfId="93"/>
    <cellStyle name="20% - Accent4 5" xfId="46"/>
    <cellStyle name="20% - Accent5 2" xfId="146"/>
    <cellStyle name="20% - Accent5 2 2" xfId="176"/>
    <cellStyle name="20% - Accent5 3" xfId="177"/>
    <cellStyle name="20% - Accent5 4" xfId="97"/>
    <cellStyle name="20% - Accent5 5" xfId="50"/>
    <cellStyle name="20% - Accent6 2" xfId="150"/>
    <cellStyle name="20% - Accent6 2 2" xfId="178"/>
    <cellStyle name="20% - Accent6 3" xfId="179"/>
    <cellStyle name="20% - Accent6 4" xfId="101"/>
    <cellStyle name="20% - Accent6 5" xfId="54"/>
    <cellStyle name="3dp" xfId="180"/>
    <cellStyle name="3dp 2" xfId="181"/>
    <cellStyle name="40% - Accent1 2" xfId="131"/>
    <cellStyle name="40% - Accent1 2 2" xfId="182"/>
    <cellStyle name="40% - Accent1 3" xfId="183"/>
    <cellStyle name="40% - Accent1 4" xfId="82"/>
    <cellStyle name="40% - Accent1 5" xfId="35"/>
    <cellStyle name="40% - Accent2 2" xfId="135"/>
    <cellStyle name="40% - Accent2 2 2" xfId="184"/>
    <cellStyle name="40% - Accent2 3" xfId="185"/>
    <cellStyle name="40% - Accent2 4" xfId="86"/>
    <cellStyle name="40% - Accent2 5" xfId="39"/>
    <cellStyle name="40% - Accent3 2" xfId="139"/>
    <cellStyle name="40% - Accent3 2 2" xfId="186"/>
    <cellStyle name="40% - Accent3 3" xfId="187"/>
    <cellStyle name="40% - Accent3 4" xfId="90"/>
    <cellStyle name="40% - Accent3 5" xfId="43"/>
    <cellStyle name="40% - Accent4 2" xfId="143"/>
    <cellStyle name="40% - Accent4 2 2" xfId="188"/>
    <cellStyle name="40% - Accent4 3" xfId="189"/>
    <cellStyle name="40% - Accent4 4" xfId="94"/>
    <cellStyle name="40% - Accent4 5" xfId="47"/>
    <cellStyle name="40% - Accent5 2" xfId="147"/>
    <cellStyle name="40% - Accent5 2 2" xfId="190"/>
    <cellStyle name="40% - Accent5 3" xfId="191"/>
    <cellStyle name="40% - Accent5 4" xfId="98"/>
    <cellStyle name="40% - Accent5 5" xfId="51"/>
    <cellStyle name="40% - Accent6 2" xfId="151"/>
    <cellStyle name="40% - Accent6 2 2" xfId="192"/>
    <cellStyle name="40% - Accent6 3" xfId="193"/>
    <cellStyle name="40% - Accent6 4" xfId="102"/>
    <cellStyle name="40% - Accent6 5" xfId="55"/>
    <cellStyle name="4dp" xfId="194"/>
    <cellStyle name="4dp 2" xfId="195"/>
    <cellStyle name="60% - Accent1 2" xfId="132"/>
    <cellStyle name="60% - Accent1 2 2" xfId="196"/>
    <cellStyle name="60% - Accent1 3" xfId="197"/>
    <cellStyle name="60% - Accent1 4" xfId="83"/>
    <cellStyle name="60% - Accent1 5" xfId="36"/>
    <cellStyle name="60% - Accent2 2" xfId="136"/>
    <cellStyle name="60% - Accent2 2 2" xfId="198"/>
    <cellStyle name="60% - Accent2 3" xfId="199"/>
    <cellStyle name="60% - Accent2 4" xfId="87"/>
    <cellStyle name="60% - Accent2 5" xfId="40"/>
    <cellStyle name="60% - Accent3 2" xfId="140"/>
    <cellStyle name="60% - Accent3 2 2" xfId="200"/>
    <cellStyle name="60% - Accent3 3" xfId="201"/>
    <cellStyle name="60% - Accent3 4" xfId="91"/>
    <cellStyle name="60% - Accent3 5" xfId="44"/>
    <cellStyle name="60% - Accent4 2" xfId="144"/>
    <cellStyle name="60% - Accent4 2 2" xfId="202"/>
    <cellStyle name="60% - Accent4 3" xfId="203"/>
    <cellStyle name="60% - Accent4 4" xfId="95"/>
    <cellStyle name="60% - Accent4 5" xfId="48"/>
    <cellStyle name="60% - Accent5 2" xfId="148"/>
    <cellStyle name="60% - Accent5 2 2" xfId="204"/>
    <cellStyle name="60% - Accent5 3" xfId="205"/>
    <cellStyle name="60% - Accent5 4" xfId="99"/>
    <cellStyle name="60% - Accent5 5" xfId="52"/>
    <cellStyle name="60% - Accent6 2" xfId="152"/>
    <cellStyle name="60% - Accent6 2 2" xfId="206"/>
    <cellStyle name="60% - Accent6 3" xfId="207"/>
    <cellStyle name="60% - Accent6 4" xfId="103"/>
    <cellStyle name="60% - Accent6 5" xfId="56"/>
    <cellStyle name="Accent1 2" xfId="129"/>
    <cellStyle name="Accent1 2 2" xfId="208"/>
    <cellStyle name="Accent1 3" xfId="209"/>
    <cellStyle name="Accent1 4" xfId="80"/>
    <cellStyle name="Accent1 5" xfId="33"/>
    <cellStyle name="Accent2 2" xfId="133"/>
    <cellStyle name="Accent2 2 2" xfId="210"/>
    <cellStyle name="Accent2 3" xfId="211"/>
    <cellStyle name="Accent2 4" xfId="84"/>
    <cellStyle name="Accent2 5" xfId="37"/>
    <cellStyle name="Accent3 2" xfId="137"/>
    <cellStyle name="Accent3 2 2" xfId="212"/>
    <cellStyle name="Accent3 3" xfId="213"/>
    <cellStyle name="Accent3 4" xfId="88"/>
    <cellStyle name="Accent3 5" xfId="41"/>
    <cellStyle name="Accent4 2" xfId="141"/>
    <cellStyle name="Accent4 2 2" xfId="214"/>
    <cellStyle name="Accent4 3" xfId="215"/>
    <cellStyle name="Accent4 4" xfId="92"/>
    <cellStyle name="Accent4 5" xfId="45"/>
    <cellStyle name="Accent5 2" xfId="145"/>
    <cellStyle name="Accent5 2 2" xfId="216"/>
    <cellStyle name="Accent5 3" xfId="217"/>
    <cellStyle name="Accent5 4" xfId="96"/>
    <cellStyle name="Accent5 5" xfId="49"/>
    <cellStyle name="Accent6 2" xfId="149"/>
    <cellStyle name="Accent6 2 2" xfId="218"/>
    <cellStyle name="Accent6 3" xfId="219"/>
    <cellStyle name="Accent6 4" xfId="100"/>
    <cellStyle name="Accent6 5" xfId="53"/>
    <cellStyle name="ANCLAS,REZONES Y SUS PARTES,DE FUNDICION,DE HIERRO O DE ACERO" xfId="220"/>
    <cellStyle name="avt31l" xfId="221"/>
    <cellStyle name="Bad 2" xfId="119"/>
    <cellStyle name="Bad 2 2" xfId="222"/>
    <cellStyle name="Bad 3" xfId="223"/>
    <cellStyle name="Bad 4" xfId="69"/>
    <cellStyle name="Bad 5" xfId="23"/>
    <cellStyle name="Bid £m format" xfId="224"/>
    <cellStyle name="Calculation 2" xfId="123"/>
    <cellStyle name="Calculation 2 2" xfId="225"/>
    <cellStyle name="Calculation 3" xfId="226"/>
    <cellStyle name="Calculation 4" xfId="73"/>
    <cellStyle name="Calculation 5" xfId="27"/>
    <cellStyle name="CellBACode" xfId="227"/>
    <cellStyle name="CellBAName" xfId="228"/>
    <cellStyle name="CellBAValue" xfId="229"/>
    <cellStyle name="CellBAValue 2" xfId="230"/>
    <cellStyle name="CellMCCode" xfId="231"/>
    <cellStyle name="CellMCName" xfId="232"/>
    <cellStyle name="CellMCValue" xfId="233"/>
    <cellStyle name="CellNationCode" xfId="234"/>
    <cellStyle name="CellNationName" xfId="235"/>
    <cellStyle name="CellNationSubCode" xfId="236"/>
    <cellStyle name="CellNationSubName" xfId="237"/>
    <cellStyle name="CellNationSubValue" xfId="238"/>
    <cellStyle name="CellNationValue" xfId="239"/>
    <cellStyle name="CellNormal" xfId="240"/>
    <cellStyle name="CellRegionCode" xfId="241"/>
    <cellStyle name="CellRegionName" xfId="242"/>
    <cellStyle name="CellRegionValue" xfId="243"/>
    <cellStyle name="CellUACode" xfId="244"/>
    <cellStyle name="CellUAName" xfId="245"/>
    <cellStyle name="CellUAValue" xfId="246"/>
    <cellStyle name="CellUAValue 2" xfId="247"/>
    <cellStyle name="Check Cell 2" xfId="125"/>
    <cellStyle name="Check Cell 2 2" xfId="248"/>
    <cellStyle name="Check Cell 3" xfId="249"/>
    <cellStyle name="Check Cell 4" xfId="75"/>
    <cellStyle name="Check Cell 5" xfId="29"/>
    <cellStyle name="CIL" xfId="250"/>
    <cellStyle name="CIU" xfId="251"/>
    <cellStyle name="Comma" xfId="1" builtinId="3"/>
    <cellStyle name="Comma 10" xfId="252"/>
    <cellStyle name="Comma 11" xfId="253"/>
    <cellStyle name="Comma 11 2" xfId="254"/>
    <cellStyle name="Comma 11 3" xfId="255"/>
    <cellStyle name="Comma 12" xfId="256"/>
    <cellStyle name="Comma 12 2" xfId="257"/>
    <cellStyle name="Comma 13" xfId="258"/>
    <cellStyle name="Comma 14" xfId="259"/>
    <cellStyle name="Comma 15" xfId="260"/>
    <cellStyle name="Comma 16" xfId="261"/>
    <cellStyle name="Comma 17" xfId="262"/>
    <cellStyle name="Comma 18" xfId="263"/>
    <cellStyle name="Comma 19" xfId="264"/>
    <cellStyle name="Comma 2" xfId="105"/>
    <cellStyle name="Comma 2 2" xfId="266"/>
    <cellStyle name="Comma 2 3" xfId="267"/>
    <cellStyle name="Comma 2 3 2" xfId="268"/>
    <cellStyle name="Comma 2 4" xfId="269"/>
    <cellStyle name="Comma 2 5" xfId="265"/>
    <cellStyle name="Comma 20" xfId="270"/>
    <cellStyle name="Comma 21" xfId="271"/>
    <cellStyle name="Comma 22" xfId="62"/>
    <cellStyle name="Comma 23" xfId="4"/>
    <cellStyle name="Comma 3" xfId="272"/>
    <cellStyle name="Comma 3 2" xfId="273"/>
    <cellStyle name="Comma 3 3" xfId="274"/>
    <cellStyle name="Comma 4" xfId="275"/>
    <cellStyle name="Comma 4 2" xfId="276"/>
    <cellStyle name="Comma 5" xfId="277"/>
    <cellStyle name="Comma 6" xfId="278"/>
    <cellStyle name="Comma 7" xfId="279"/>
    <cellStyle name="Comma 8" xfId="280"/>
    <cellStyle name="Comma 9" xfId="281"/>
    <cellStyle name="Currency 2" xfId="12"/>
    <cellStyle name="Currency 2 2" xfId="283"/>
    <cellStyle name="Currency 2 3" xfId="282"/>
    <cellStyle name="Currency 2 4" xfId="111"/>
    <cellStyle name="Currency 3" xfId="106"/>
    <cellStyle name="Currency 3 2" xfId="285"/>
    <cellStyle name="Currency 3 3" xfId="284"/>
    <cellStyle name="Currency 4" xfId="286"/>
    <cellStyle name="Currency 5" xfId="5"/>
    <cellStyle name="Description" xfId="287"/>
    <cellStyle name="Euro" xfId="288"/>
    <cellStyle name="Explanatory Text 2" xfId="127"/>
    <cellStyle name="Explanatory Text 2 2" xfId="289"/>
    <cellStyle name="Explanatory Text 3" xfId="290"/>
    <cellStyle name="Explanatory Text 4" xfId="78"/>
    <cellStyle name="Explanatory Text 5" xfId="31"/>
    <cellStyle name="Flash" xfId="291"/>
    <cellStyle name="footnote ref" xfId="292"/>
    <cellStyle name="footnote text" xfId="293"/>
    <cellStyle name="General" xfId="294"/>
    <cellStyle name="General 2" xfId="295"/>
    <cellStyle name="Good 2" xfId="118"/>
    <cellStyle name="Good 2 2" xfId="296"/>
    <cellStyle name="Good 3" xfId="297"/>
    <cellStyle name="Good 4" xfId="68"/>
    <cellStyle name="Good 5" xfId="22"/>
    <cellStyle name="Grey" xfId="298"/>
    <cellStyle name="HeaderLabel" xfId="299"/>
    <cellStyle name="Headers" xfId="300"/>
    <cellStyle name="HeaderText" xfId="301"/>
    <cellStyle name="Heading 1 2" xfId="114"/>
    <cellStyle name="Heading 1 2 2" xfId="303"/>
    <cellStyle name="Heading 1 2 3" xfId="302"/>
    <cellStyle name="Heading 1 2_asset sales" xfId="304"/>
    <cellStyle name="Heading 1 3" xfId="305"/>
    <cellStyle name="Heading 1 4" xfId="306"/>
    <cellStyle name="Heading 1 5" xfId="64"/>
    <cellStyle name="Heading 1 6" xfId="18"/>
    <cellStyle name="Heading 2 2" xfId="115"/>
    <cellStyle name="Heading 2 2 2" xfId="307"/>
    <cellStyle name="Heading 2 3" xfId="308"/>
    <cellStyle name="Heading 2 4" xfId="65"/>
    <cellStyle name="Heading 2 5" xfId="19"/>
    <cellStyle name="Heading 3 2" xfId="116"/>
    <cellStyle name="Heading 3 2 2" xfId="309"/>
    <cellStyle name="Heading 3 3" xfId="310"/>
    <cellStyle name="Heading 3 4" xfId="66"/>
    <cellStyle name="Heading 3 5" xfId="20"/>
    <cellStyle name="Heading 4 2" xfId="117"/>
    <cellStyle name="Heading 4 2 2" xfId="311"/>
    <cellStyle name="Heading 4 3" xfId="312"/>
    <cellStyle name="Heading 4 4" xfId="67"/>
    <cellStyle name="Heading 4 5" xfId="21"/>
    <cellStyle name="Heading 5" xfId="313"/>
    <cellStyle name="Heading 6" xfId="314"/>
    <cellStyle name="Heading 7" xfId="315"/>
    <cellStyle name="Heading 8" xfId="316"/>
    <cellStyle name="Hyperlink" xfId="157"/>
    <cellStyle name="Hyperlink 2" xfId="317"/>
    <cellStyle name="Hyperlink 2 2" xfId="318"/>
    <cellStyle name="Hyperlink 3" xfId="319"/>
    <cellStyle name="Hyperlink 4" xfId="320"/>
    <cellStyle name="Hyperlink 4 2" xfId="321"/>
    <cellStyle name="Hyperlink 4 3" xfId="322"/>
    <cellStyle name="Hyperlink 5" xfId="323"/>
    <cellStyle name="Hyperlink 6" xfId="324"/>
    <cellStyle name="Hyperlink 7" xfId="325"/>
    <cellStyle name="Hyperlink 8" xfId="326"/>
    <cellStyle name="Hyperlink 9" xfId="621"/>
    <cellStyle name="Hyperlink_Table 1.1" xfId="327"/>
    <cellStyle name="Information" xfId="328"/>
    <cellStyle name="Input [yellow]" xfId="329"/>
    <cellStyle name="Input 10" xfId="330"/>
    <cellStyle name="Input 11" xfId="331"/>
    <cellStyle name="Input 12" xfId="332"/>
    <cellStyle name="Input 13" xfId="333"/>
    <cellStyle name="Input 14" xfId="334"/>
    <cellStyle name="Input 15" xfId="335"/>
    <cellStyle name="Input 16" xfId="336"/>
    <cellStyle name="Input 17" xfId="337"/>
    <cellStyle name="Input 18" xfId="338"/>
    <cellStyle name="Input 19" xfId="339"/>
    <cellStyle name="Input 2" xfId="121"/>
    <cellStyle name="Input 2 2" xfId="340"/>
    <cellStyle name="Input 20" xfId="71"/>
    <cellStyle name="Input 21" xfId="616"/>
    <cellStyle name="Input 22" xfId="618"/>
    <cellStyle name="Input 23" xfId="617"/>
    <cellStyle name="Input 24" xfId="25"/>
    <cellStyle name="Input 3" xfId="341"/>
    <cellStyle name="Input 4" xfId="342"/>
    <cellStyle name="Input 5" xfId="343"/>
    <cellStyle name="Input 6" xfId="344"/>
    <cellStyle name="Input 7" xfId="345"/>
    <cellStyle name="Input 8" xfId="346"/>
    <cellStyle name="Input 9" xfId="347"/>
    <cellStyle name="LabelIntersect" xfId="348"/>
    <cellStyle name="LabelLeft" xfId="349"/>
    <cellStyle name="LabelTop" xfId="350"/>
    <cellStyle name="Linked Cell 2" xfId="124"/>
    <cellStyle name="Linked Cell 2 2" xfId="351"/>
    <cellStyle name="Linked Cell 3" xfId="352"/>
    <cellStyle name="Linked Cell 4" xfId="74"/>
    <cellStyle name="Linked Cell 5" xfId="28"/>
    <cellStyle name="Mik" xfId="353"/>
    <cellStyle name="Mik 2" xfId="354"/>
    <cellStyle name="Mik_For fiscal tables" xfId="355"/>
    <cellStyle name="N" xfId="356"/>
    <cellStyle name="N 2" xfId="357"/>
    <cellStyle name="Neutral 2" xfId="120"/>
    <cellStyle name="Neutral 2 2" xfId="358"/>
    <cellStyle name="Neutral 3" xfId="359"/>
    <cellStyle name="Neutral 4" xfId="70"/>
    <cellStyle name="Neutral 5" xfId="24"/>
    <cellStyle name="Normal" xfId="0" builtinId="0"/>
    <cellStyle name="Normal - Style1" xfId="360"/>
    <cellStyle name="Normal - Style2" xfId="361"/>
    <cellStyle name="Normal - Style3" xfId="362"/>
    <cellStyle name="Normal - Style4" xfId="363"/>
    <cellStyle name="Normal - Style5" xfId="364"/>
    <cellStyle name="Normal 10" xfId="365"/>
    <cellStyle name="Normal 100" xfId="366"/>
    <cellStyle name="Normal 101" xfId="367"/>
    <cellStyle name="Normal 102" xfId="368"/>
    <cellStyle name="Normal 103" xfId="369"/>
    <cellStyle name="Normal 104" xfId="370"/>
    <cellStyle name="Normal 105" xfId="371"/>
    <cellStyle name="Normal 106" xfId="372"/>
    <cellStyle name="Normal 107" xfId="373"/>
    <cellStyle name="Normal 108" xfId="374"/>
    <cellStyle name="Normal 11" xfId="375"/>
    <cellStyle name="Normal 12" xfId="376"/>
    <cellStyle name="Normal 13" xfId="377"/>
    <cellStyle name="Normal 13 2" xfId="378"/>
    <cellStyle name="Normal 14" xfId="379"/>
    <cellStyle name="Normal 15" xfId="380"/>
    <cellStyle name="Normal 15 2" xfId="381"/>
    <cellStyle name="Normal 16" xfId="382"/>
    <cellStyle name="Normal 17" xfId="383"/>
    <cellStyle name="Normal 18" xfId="384"/>
    <cellStyle name="Normal 18 2" xfId="385"/>
    <cellStyle name="Normal 19" xfId="386"/>
    <cellStyle name="Normal 2" xfId="6"/>
    <cellStyle name="Normal 2 2" xfId="15"/>
    <cellStyle name="Normal 2 2 2" xfId="389"/>
    <cellStyle name="Normal 2 2 3" xfId="390"/>
    <cellStyle name="Normal 2 2 4" xfId="391"/>
    <cellStyle name="Normal 2 2 5" xfId="388"/>
    <cellStyle name="Normal 2 2 6" xfId="113"/>
    <cellStyle name="Normal 2 3" xfId="59"/>
    <cellStyle name="Normal 2 3 2" xfId="392"/>
    <cellStyle name="Normal 2 3 3" xfId="155"/>
    <cellStyle name="Normal 2 4" xfId="393"/>
    <cellStyle name="Normal 2 5" xfId="394"/>
    <cellStyle name="Normal 2 6" xfId="158"/>
    <cellStyle name="Normal 2 7" xfId="395"/>
    <cellStyle name="Normal 2 8" xfId="396"/>
    <cellStyle name="Normal 2 9" xfId="387"/>
    <cellStyle name="Normal 20" xfId="397"/>
    <cellStyle name="Normal 21" xfId="398"/>
    <cellStyle name="Normal 21 2" xfId="399"/>
    <cellStyle name="Normal 21_Copy of Fiscal Tables" xfId="400"/>
    <cellStyle name="Normal 22" xfId="401"/>
    <cellStyle name="Normal 22 2" xfId="402"/>
    <cellStyle name="Normal 22_Copy of Fiscal Tables" xfId="403"/>
    <cellStyle name="Normal 23" xfId="404"/>
    <cellStyle name="Normal 24" xfId="405"/>
    <cellStyle name="Normal 25" xfId="406"/>
    <cellStyle name="Normal 26" xfId="407"/>
    <cellStyle name="Normal 27" xfId="408"/>
    <cellStyle name="Normal 28" xfId="409"/>
    <cellStyle name="Normal 29" xfId="410"/>
    <cellStyle name="Normal 3" xfId="7"/>
    <cellStyle name="Normal 3 10" xfId="107"/>
    <cellStyle name="Normal 3 2" xfId="14"/>
    <cellStyle name="Normal 3 2 2" xfId="16"/>
    <cellStyle name="Normal 3 3" xfId="412"/>
    <cellStyle name="Normal 3 3 2" xfId="413"/>
    <cellStyle name="Normal 3 4" xfId="414"/>
    <cellStyle name="Normal 3 5" xfId="415"/>
    <cellStyle name="Normal 3 6" xfId="416"/>
    <cellStyle name="Normal 3 7" xfId="417"/>
    <cellStyle name="Normal 3 8" xfId="418"/>
    <cellStyle name="Normal 3 9" xfId="411"/>
    <cellStyle name="Normal 3_asset sales" xfId="419"/>
    <cellStyle name="Normal 30" xfId="420"/>
    <cellStyle name="Normal 31" xfId="421"/>
    <cellStyle name="Normal 32" xfId="422"/>
    <cellStyle name="Normal 33" xfId="423"/>
    <cellStyle name="Normal 34" xfId="424"/>
    <cellStyle name="Normal 35" xfId="425"/>
    <cellStyle name="Normal 36" xfId="426"/>
    <cellStyle name="Normal 37" xfId="427"/>
    <cellStyle name="Normal 38" xfId="428"/>
    <cellStyle name="Normal 39" xfId="429"/>
    <cellStyle name="Normal 4" xfId="11"/>
    <cellStyle name="Normal 4 2" xfId="430"/>
    <cellStyle name="Normal 4 3" xfId="110"/>
    <cellStyle name="Normal 40" xfId="431"/>
    <cellStyle name="Normal 41" xfId="432"/>
    <cellStyle name="Normal 42" xfId="433"/>
    <cellStyle name="Normal 43" xfId="434"/>
    <cellStyle name="Normal 44" xfId="435"/>
    <cellStyle name="Normal 45" xfId="436"/>
    <cellStyle name="Normal 46" xfId="437"/>
    <cellStyle name="Normal 47" xfId="438"/>
    <cellStyle name="Normal 48" xfId="439"/>
    <cellStyle name="Normal 49" xfId="440"/>
    <cellStyle name="Normal 5" xfId="13"/>
    <cellStyle name="Normal 5 2" xfId="442"/>
    <cellStyle name="Normal 5 3" xfId="441"/>
    <cellStyle name="Normal 5 4" xfId="112"/>
    <cellStyle name="Normal 50" xfId="443"/>
    <cellStyle name="Normal 51" xfId="444"/>
    <cellStyle name="Normal 52" xfId="445"/>
    <cellStyle name="Normal 53" xfId="446"/>
    <cellStyle name="Normal 54" xfId="447"/>
    <cellStyle name="Normal 55" xfId="448"/>
    <cellStyle name="Normal 56" xfId="449"/>
    <cellStyle name="Normal 57" xfId="450"/>
    <cellStyle name="Normal 58" xfId="451"/>
    <cellStyle name="Normal 59" xfId="452"/>
    <cellStyle name="Normal 6" xfId="17"/>
    <cellStyle name="Normal 6 2" xfId="454"/>
    <cellStyle name="Normal 6 3" xfId="453"/>
    <cellStyle name="Normal 60" xfId="455"/>
    <cellStyle name="Normal 61" xfId="456"/>
    <cellStyle name="Normal 62" xfId="457"/>
    <cellStyle name="Normal 63" xfId="458"/>
    <cellStyle name="Normal 64" xfId="459"/>
    <cellStyle name="Normal 65" xfId="460"/>
    <cellStyle name="Normal 66" xfId="615"/>
    <cellStyle name="Normal 67" xfId="61"/>
    <cellStyle name="Normal 68" xfId="63"/>
    <cellStyle name="Normal 69" xfId="619"/>
    <cellStyle name="Normal 7" xfId="57"/>
    <cellStyle name="Normal 7 2" xfId="462"/>
    <cellStyle name="Normal 7 3" xfId="461"/>
    <cellStyle name="Normal 7 4" xfId="153"/>
    <cellStyle name="Normal 70" xfId="620"/>
    <cellStyle name="Normal 71" xfId="3"/>
    <cellStyle name="Normal 8" xfId="58"/>
    <cellStyle name="Normal 8 2" xfId="463"/>
    <cellStyle name="Normal 8 3" xfId="154"/>
    <cellStyle name="Normal 9" xfId="104"/>
    <cellStyle name="Normal 9 2" xfId="464"/>
    <cellStyle name="Normal10" xfId="8"/>
    <cellStyle name="Note 2" xfId="60"/>
    <cellStyle name="Note 2 2" xfId="465"/>
    <cellStyle name="Note 2 3" xfId="156"/>
    <cellStyle name="Note 3" xfId="466"/>
    <cellStyle name="Note 4" xfId="77"/>
    <cellStyle name="Output 2" xfId="122"/>
    <cellStyle name="Output 2 2" xfId="467"/>
    <cellStyle name="Output 3" xfId="468"/>
    <cellStyle name="Output 4" xfId="72"/>
    <cellStyle name="Output 5" xfId="26"/>
    <cellStyle name="Output Amounts" xfId="469"/>
    <cellStyle name="Output Column Headings" xfId="470"/>
    <cellStyle name="Output Line Items" xfId="471"/>
    <cellStyle name="Output Report Heading" xfId="472"/>
    <cellStyle name="Output Report Title" xfId="473"/>
    <cellStyle name="P" xfId="474"/>
    <cellStyle name="P 2" xfId="475"/>
    <cellStyle name="Percent [2]" xfId="476"/>
    <cellStyle name="Percent 10" xfId="477"/>
    <cellStyle name="Percent 11" xfId="9"/>
    <cellStyle name="Percent 2" xfId="10"/>
    <cellStyle name="Percent 2 2" xfId="478"/>
    <cellStyle name="Percent 2 3" xfId="479"/>
    <cellStyle name="Percent 2 4" xfId="480"/>
    <cellStyle name="Percent 2 5" xfId="159"/>
    <cellStyle name="Percent 2 6" xfId="109"/>
    <cellStyle name="Percent 3" xfId="108"/>
    <cellStyle name="Percent 3 2" xfId="482"/>
    <cellStyle name="Percent 3 3" xfId="481"/>
    <cellStyle name="Percent 4" xfId="483"/>
    <cellStyle name="Percent 4 2" xfId="484"/>
    <cellStyle name="Percent 5" xfId="485"/>
    <cellStyle name="Percent 5 2" xfId="486"/>
    <cellStyle name="Percent 5 3" xfId="487"/>
    <cellStyle name="Percent 6" xfId="488"/>
    <cellStyle name="Percent 7" xfId="489"/>
    <cellStyle name="Percent 7 2" xfId="490"/>
    <cellStyle name="Percent 8" xfId="491"/>
    <cellStyle name="Percent 9" xfId="492"/>
    <cellStyle name="Refdb standard" xfId="493"/>
    <cellStyle name="ReportData" xfId="494"/>
    <cellStyle name="ReportElements" xfId="495"/>
    <cellStyle name="ReportHeader" xfId="496"/>
    <cellStyle name="Row_Headings" xfId="497"/>
    <cellStyle name="SAPBEXaggData" xfId="498"/>
    <cellStyle name="SAPBEXaggDataEmph" xfId="499"/>
    <cellStyle name="SAPBEXaggItem" xfId="500"/>
    <cellStyle name="SAPBEXaggItemX" xfId="501"/>
    <cellStyle name="SAPBEXchaText" xfId="502"/>
    <cellStyle name="SAPBEXexcBad7" xfId="503"/>
    <cellStyle name="SAPBEXexcBad8" xfId="504"/>
    <cellStyle name="SAPBEXexcBad9" xfId="505"/>
    <cellStyle name="SAPBEXexcCritical4" xfId="506"/>
    <cellStyle name="SAPBEXexcCritical5" xfId="507"/>
    <cellStyle name="SAPBEXexcCritical6" xfId="508"/>
    <cellStyle name="SAPBEXexcGood1" xfId="509"/>
    <cellStyle name="SAPBEXexcGood2" xfId="510"/>
    <cellStyle name="SAPBEXexcGood3" xfId="511"/>
    <cellStyle name="SAPBEXfilterDrill" xfId="512"/>
    <cellStyle name="SAPBEXfilterItem" xfId="513"/>
    <cellStyle name="SAPBEXfilterText" xfId="514"/>
    <cellStyle name="SAPBEXformats" xfId="515"/>
    <cellStyle name="SAPBEXheaderItem" xfId="516"/>
    <cellStyle name="SAPBEXheaderText" xfId="517"/>
    <cellStyle name="SAPBEXHLevel0" xfId="518"/>
    <cellStyle name="SAPBEXHLevel0X" xfId="519"/>
    <cellStyle name="SAPBEXHLevel1" xfId="520"/>
    <cellStyle name="SAPBEXHLevel1X" xfId="521"/>
    <cellStyle name="SAPBEXHLevel2" xfId="522"/>
    <cellStyle name="SAPBEXHLevel2X" xfId="523"/>
    <cellStyle name="SAPBEXHLevel3" xfId="524"/>
    <cellStyle name="SAPBEXHLevel3X" xfId="525"/>
    <cellStyle name="SAPBEXresData" xfId="526"/>
    <cellStyle name="SAPBEXresDataEmph" xfId="527"/>
    <cellStyle name="SAPBEXresItem" xfId="528"/>
    <cellStyle name="SAPBEXresItemX" xfId="529"/>
    <cellStyle name="SAPBEXstdData" xfId="530"/>
    <cellStyle name="SAPBEXstdDataEmph" xfId="531"/>
    <cellStyle name="SAPBEXstdItem" xfId="532"/>
    <cellStyle name="SAPBEXstdItemX" xfId="533"/>
    <cellStyle name="SAPBEXtitle" xfId="534"/>
    <cellStyle name="SAPBEXundefined" xfId="535"/>
    <cellStyle name="Style 1" xfId="536"/>
    <cellStyle name="Style1" xfId="537"/>
    <cellStyle name="Style1 2" xfId="538"/>
    <cellStyle name="Style2" xfId="539"/>
    <cellStyle name="Style3" xfId="540"/>
    <cellStyle name="Style4" xfId="541"/>
    <cellStyle name="Style5" xfId="542"/>
    <cellStyle name="Style6" xfId="543"/>
    <cellStyle name="Sub-headers" xfId="544"/>
    <cellStyle name="Table Cells" xfId="545"/>
    <cellStyle name="Table Cells 2" xfId="546"/>
    <cellStyle name="Table Column Headings" xfId="547"/>
    <cellStyle name="Table Footnote" xfId="548"/>
    <cellStyle name="Table Footnote 2" xfId="549"/>
    <cellStyle name="Table Footnote 2 2" xfId="550"/>
    <cellStyle name="Table Footnote_Table 5.6 sales of assets 23Feb2010" xfId="551"/>
    <cellStyle name="Table Header" xfId="552"/>
    <cellStyle name="Table Header 2" xfId="553"/>
    <cellStyle name="Table Header 2 2" xfId="554"/>
    <cellStyle name="Table Header_Table 5.6 sales of assets 23Feb2010" xfId="555"/>
    <cellStyle name="Table Heading 1" xfId="556"/>
    <cellStyle name="Table Heading 1 2" xfId="557"/>
    <cellStyle name="Table Heading 1 2 2" xfId="558"/>
    <cellStyle name="Table Heading 1_Table 5.6 sales of assets 23Feb2010" xfId="559"/>
    <cellStyle name="Table Heading 2" xfId="560"/>
    <cellStyle name="Table Heading 2 2" xfId="561"/>
    <cellStyle name="Table Heading 2_Table 5.6 sales of assets 23Feb2010" xfId="562"/>
    <cellStyle name="Table Number" xfId="563"/>
    <cellStyle name="Table Of Which" xfId="564"/>
    <cellStyle name="Table Of Which 2" xfId="565"/>
    <cellStyle name="Table Of Which_Table 5.6 sales of assets 23Feb2010" xfId="566"/>
    <cellStyle name="Table Row Billions" xfId="567"/>
    <cellStyle name="Table Row Billions 2" xfId="568"/>
    <cellStyle name="Table Row Billions Check" xfId="569"/>
    <cellStyle name="Table Row Billions Check 2" xfId="570"/>
    <cellStyle name="Table Row Billions Check 3" xfId="571"/>
    <cellStyle name="Table Row Billions Check_asset sales" xfId="572"/>
    <cellStyle name="Table Row Billions_Table 5.6 sales of assets 23Feb2010" xfId="573"/>
    <cellStyle name="Table Row Headings" xfId="574"/>
    <cellStyle name="Table Row Millions" xfId="575"/>
    <cellStyle name="Table Row Millions 2" xfId="576"/>
    <cellStyle name="Table Row Millions 2 2" xfId="577"/>
    <cellStyle name="Table Row Millions Check" xfId="578"/>
    <cellStyle name="Table Row Millions Check 2" xfId="579"/>
    <cellStyle name="Table Row Millions Check 3" xfId="580"/>
    <cellStyle name="Table Row Millions Check 4" xfId="581"/>
    <cellStyle name="Table Row Millions Check_asset sales" xfId="582"/>
    <cellStyle name="Table Row Millions_Table 5.6 sales of assets 23Feb2010" xfId="583"/>
    <cellStyle name="Table Row Percentage" xfId="584"/>
    <cellStyle name="Table Row Percentage 2" xfId="585"/>
    <cellStyle name="Table Row Percentage Check" xfId="586"/>
    <cellStyle name="Table Row Percentage Check 2" xfId="587"/>
    <cellStyle name="Table Row Percentage Check 3" xfId="588"/>
    <cellStyle name="Table Row Percentage Check_asset sales" xfId="589"/>
    <cellStyle name="Table Row Percentage_Table 5.6 sales of assets 23Feb2010" xfId="590"/>
    <cellStyle name="Table Title" xfId="591"/>
    <cellStyle name="Table Total Billions" xfId="592"/>
    <cellStyle name="Table Total Billions 2" xfId="593"/>
    <cellStyle name="Table Total Billions_Table 5.6 sales of assets 23Feb2010" xfId="594"/>
    <cellStyle name="Table Total Millions" xfId="595"/>
    <cellStyle name="Table Total Millions 2" xfId="596"/>
    <cellStyle name="Table Total Millions 2 2" xfId="597"/>
    <cellStyle name="Table Total Millions_Table 5.6 sales of assets 23Feb2010" xfId="598"/>
    <cellStyle name="Table Total Percentage" xfId="599"/>
    <cellStyle name="Table Total Percentage 2" xfId="600"/>
    <cellStyle name="Table Total Percentage_Table 5.6 sales of assets 23Feb2010" xfId="601"/>
    <cellStyle name="Table Units" xfId="602"/>
    <cellStyle name="Table Units 2" xfId="603"/>
    <cellStyle name="Table Units 2 2" xfId="604"/>
    <cellStyle name="Table Units_Table 5.6 sales of assets 23Feb2010" xfId="605"/>
    <cellStyle name="Times New Roman" xfId="606"/>
    <cellStyle name="Title" xfId="2" builtinId="15" customBuiltin="1"/>
    <cellStyle name="Title 2" xfId="607"/>
    <cellStyle name="Title 3" xfId="608"/>
    <cellStyle name="Title 4" xfId="609"/>
    <cellStyle name="Total 2" xfId="128"/>
    <cellStyle name="Total 2 2" xfId="610"/>
    <cellStyle name="Total 3" xfId="611"/>
    <cellStyle name="Total 4" xfId="79"/>
    <cellStyle name="Total 5" xfId="32"/>
    <cellStyle name="Warning Text 2" xfId="126"/>
    <cellStyle name="Warning Text 2 2" xfId="612"/>
    <cellStyle name="Warning Text 3" xfId="613"/>
    <cellStyle name="Warning Text 4" xfId="76"/>
    <cellStyle name="Warning Text 5" xfId="30"/>
    <cellStyle name="whole number" xfId="614"/>
  </cellStyles>
  <dxfs count="20">
    <dxf>
      <fill>
        <patternFill>
          <bgColor theme="5"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6" tint="0.59996337778862885"/>
        </patternFill>
      </fill>
    </dxf>
  </dxfs>
  <tableStyles count="0" defaultTableStyle="TableStyleMedium2" defaultPivotStyle="PivotStyleLight16"/>
  <colors>
    <mruColors>
      <color rgb="FF9DC3E6"/>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Yearly Housing Need Tenure Split - User Assumptions</a:t>
            </a:r>
          </a:p>
          <a:p>
            <a:pPr>
              <a:defRPr sz="1400"/>
            </a:pPr>
            <a:r>
              <a:rPr lang="en-GB" sz="1400"/>
              <a:t>(Wales)</a:t>
            </a:r>
          </a:p>
        </c:rich>
      </c:tx>
      <c:overlay val="0"/>
    </c:title>
    <c:autoTitleDeleted val="0"/>
    <c:plotArea>
      <c:layout/>
      <c:barChart>
        <c:barDir val="col"/>
        <c:grouping val="stacked"/>
        <c:varyColors val="0"/>
        <c:ser>
          <c:idx val="0"/>
          <c:order val="0"/>
          <c:tx>
            <c:strRef>
              <c:f>'Tenure Split (WALES)'!$B$93</c:f>
              <c:strCache>
                <c:ptCount val="1"/>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(WALES)'!$C$92:$G$92</c:f>
            </c:multiLvlStrRef>
          </c:cat>
          <c:val>
            <c:numRef>
              <c:f>'Tenure Split (WALES)'!$C$93:$G$93</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C38B-4CEE-91F9-245E13712A54}"/>
            </c:ext>
          </c:extLst>
        </c:ser>
        <c:ser>
          <c:idx val="1"/>
          <c:order val="1"/>
          <c:tx>
            <c:strRef>
              <c:f>'Tenure Split (WALES)'!$B$94</c:f>
              <c:strCache>
                <c:ptCount val="1"/>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(WALES)'!$C$92:$G$92</c:f>
            </c:multiLvlStrRef>
          </c:cat>
          <c:val>
            <c:numRef>
              <c:f>'Tenure Split (WALES)'!$C$94:$G$94</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C38B-4CEE-91F9-245E13712A54}"/>
            </c:ext>
          </c:extLst>
        </c:ser>
        <c:ser>
          <c:idx val="2"/>
          <c:order val="2"/>
          <c:tx>
            <c:strRef>
              <c:f>'Tenure Split (WALES)'!$B$95</c:f>
              <c:strCache>
                <c:ptCount val="1"/>
                <c:pt idx="0">
                  <c:v>  </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(WALES)'!$C$92:$G$92</c:f>
            </c:multiLvlStrRef>
          </c:cat>
          <c:val>
            <c:numRef>
              <c:f>'Tenure Split (WALES)'!$C$95:$G$95</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C38B-4CEE-91F9-245E13712A54}"/>
            </c:ext>
          </c:extLst>
        </c:ser>
        <c:ser>
          <c:idx val="3"/>
          <c:order val="3"/>
          <c:tx>
            <c:strRef>
              <c:f>'Tenure Split (WALES)'!$B$96</c:f>
              <c:strCache>
                <c:ptCount val="1"/>
                <c:pt idx="0">
                  <c:v>  </c:v>
                </c:pt>
              </c:strCache>
            </c:strRef>
          </c:tx>
          <c:spPr>
            <a:solidFill>
              <a:schemeClr val="accent1">
                <a:lumMod val="20000"/>
                <a:lumOff val="80000"/>
              </a:schemeClr>
            </a:solidFill>
          </c:spPr>
          <c:invertIfNegative val="0"/>
          <c:dLbls>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C38B-4CEE-91F9-245E13712A54}"/>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(WALES)'!$C$92:$G$92</c:f>
            </c:multiLvlStrRef>
          </c:cat>
          <c:val>
            <c:numRef>
              <c:f>'Tenure Split (WALES)'!$C$96:$G$96</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C38B-4CEE-91F9-245E13712A54}"/>
            </c:ext>
          </c:extLst>
        </c:ser>
        <c:dLbls>
          <c:showLegendKey val="0"/>
          <c:showVal val="0"/>
          <c:showCatName val="0"/>
          <c:showSerName val="0"/>
          <c:showPercent val="0"/>
          <c:showBubbleSize val="0"/>
        </c:dLbls>
        <c:gapWidth val="163"/>
        <c:overlap val="100"/>
        <c:axId val="242987392"/>
        <c:axId val="242988928"/>
      </c:barChart>
      <c:catAx>
        <c:axId val="242987392"/>
        <c:scaling>
          <c:orientation val="minMax"/>
        </c:scaling>
        <c:delete val="0"/>
        <c:axPos val="b"/>
        <c:numFmt formatCode="General" sourceLinked="1"/>
        <c:majorTickMark val="out"/>
        <c:minorTickMark val="none"/>
        <c:tickLblPos val="nextTo"/>
        <c:crossAx val="242988928"/>
        <c:crosses val="autoZero"/>
        <c:auto val="1"/>
        <c:lblAlgn val="ctr"/>
        <c:lblOffset val="100"/>
        <c:noMultiLvlLbl val="0"/>
      </c:catAx>
      <c:valAx>
        <c:axId val="242988928"/>
        <c:scaling>
          <c:orientation val="minMax"/>
          <c:max val="10000"/>
          <c:min val="0"/>
        </c:scaling>
        <c:delete val="0"/>
        <c:axPos val="l"/>
        <c:numFmt formatCode="#,##0" sourceLinked="0"/>
        <c:majorTickMark val="out"/>
        <c:minorTickMark val="none"/>
        <c:tickLblPos val="nextTo"/>
        <c:crossAx val="242987392"/>
        <c:crosses val="autoZero"/>
        <c:crossBetween val="between"/>
        <c:majorUnit val="2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Housing Need: 5 Year Tenure Split </a:t>
            </a:r>
          </a:p>
          <a:p>
            <a:pPr>
              <a:defRPr sz="1400"/>
            </a:pPr>
            <a:r>
              <a:rPr lang="en-GB" sz="1400"/>
              <a:t>User Assumptions (Mid and South West Wales)</a:t>
            </a:r>
          </a:p>
        </c:rich>
      </c:tx>
      <c:overlay val="0"/>
    </c:title>
    <c:autoTitleDeleted val="0"/>
    <c:plotArea>
      <c:layout/>
      <c:pieChart>
        <c:varyColors val="1"/>
        <c:ser>
          <c:idx val="0"/>
          <c:order val="0"/>
          <c:dPt>
            <c:idx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1-0338-452E-89CA-179103A182B0}"/>
              </c:ext>
            </c:extLst>
          </c:dPt>
          <c:dPt>
            <c:idx val="1"/>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3-0338-452E-89CA-179103A182B0}"/>
              </c:ext>
            </c:extLst>
          </c:dPt>
          <c:dPt>
            <c:idx val="2"/>
            <c:bubble3D val="0"/>
            <c:spPr>
              <a:solidFill>
                <a:schemeClr val="accent1">
                  <a:lumMod val="40000"/>
                  <a:lumOff val="60000"/>
                </a:schemeClr>
              </a:solidFill>
            </c:spPr>
            <c:extLst xmlns:c16r2="http://schemas.microsoft.com/office/drawing/2015/06/chart">
              <c:ext xmlns:c16="http://schemas.microsoft.com/office/drawing/2014/chart" uri="{C3380CC4-5D6E-409C-BE32-E72D297353CC}">
                <c16:uniqueId val="{00000005-0338-452E-89CA-179103A182B0}"/>
              </c:ext>
            </c:extLst>
          </c:dPt>
          <c:dPt>
            <c:idx val="3"/>
            <c:bubble3D val="0"/>
            <c:spPr>
              <a:solidFill>
                <a:schemeClr val="tx2">
                  <a:lumMod val="20000"/>
                  <a:lumOff val="80000"/>
                </a:schemeClr>
              </a:solidFill>
            </c:spPr>
            <c:extLst xmlns:c16r2="http://schemas.microsoft.com/office/drawing/2015/06/chart">
              <c:ext xmlns:c16="http://schemas.microsoft.com/office/drawing/2014/chart" uri="{C3380CC4-5D6E-409C-BE32-E72D297353CC}">
                <c16:uniqueId val="{00000007-0338-452E-89CA-179103A182B0}"/>
              </c:ext>
            </c:extLst>
          </c:dPt>
          <c:dLbls>
            <c:spPr>
              <a:noFill/>
              <a:ln>
                <a:noFill/>
              </a:ln>
              <a:effectLst/>
            </c:spPr>
            <c:dLblPos val="ct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multiLvlStrRef>
              <c:f>'Tenure Split (Mid and SW Wales)'!$B$101:$B$104</c:f>
            </c:multiLvlStrRef>
          </c:cat>
          <c:val>
            <c:numRef>
              <c:f>'Tenure Split (Mid and SW Wales)'!$I$101:$I$104</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0338-452E-89CA-179103A182B0}"/>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Annual Housing Need Tenure Split - User Assumptions</a:t>
            </a:r>
          </a:p>
          <a:p>
            <a:pPr>
              <a:defRPr sz="1400"/>
            </a:pPr>
            <a:r>
              <a:rPr lang="en-GB" sz="1400"/>
              <a:t>(Mid</a:t>
            </a:r>
            <a:r>
              <a:rPr lang="en-GB" sz="1400" baseline="0"/>
              <a:t> and South West</a:t>
            </a:r>
            <a:r>
              <a:rPr lang="en-GB" sz="1400"/>
              <a:t> Wales)</a:t>
            </a:r>
          </a:p>
        </c:rich>
      </c:tx>
      <c:overlay val="0"/>
    </c:title>
    <c:autoTitleDeleted val="0"/>
    <c:plotArea>
      <c:layout/>
      <c:barChart>
        <c:barDir val="col"/>
        <c:grouping val="stacked"/>
        <c:varyColors val="0"/>
        <c:ser>
          <c:idx val="0"/>
          <c:order val="0"/>
          <c:tx>
            <c:strRef>
              <c:f>'Tenure Split (Mid and SW Wales)'!$B$57</c:f>
              <c:strCache>
                <c:ptCount val="1"/>
                <c:pt idx="0">
                  <c:v>Market Housing</c:v>
                </c:pt>
              </c:strCache>
            </c:strRef>
          </c:tx>
          <c:spPr>
            <a:solidFill>
              <a:srgbClr val="2E75B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'Tenure Split (Mid and SW Wales)'!$C$56:$G$56</c:f>
              <c:strCache>
                <c:ptCount val="5"/>
                <c:pt idx="0">
                  <c:v>2018/19</c:v>
                </c:pt>
                <c:pt idx="1">
                  <c:v>2019/20</c:v>
                </c:pt>
                <c:pt idx="2">
                  <c:v>2020/21</c:v>
                </c:pt>
                <c:pt idx="3">
                  <c:v>2021/22</c:v>
                </c:pt>
                <c:pt idx="4">
                  <c:v>2022/23</c:v>
                </c:pt>
              </c:strCache>
            </c:strRef>
          </c:cat>
          <c:val>
            <c:numRef>
              <c:f>'Tenure Split (Mid and SW Wales)'!$C$57:$G$57</c:f>
              <c:numCache>
                <c:formatCode>_-* #,##0_-;\-* #,##0_-;_-* "-"??_-;_-@_-</c:formatCode>
                <c:ptCount val="5"/>
                <c:pt idx="0">
                  <c:v>1123.92</c:v>
                </c:pt>
                <c:pt idx="1">
                  <c:v>1076.67</c:v>
                </c:pt>
                <c:pt idx="2">
                  <c:v>1076.04</c:v>
                </c:pt>
                <c:pt idx="3">
                  <c:v>1151.01</c:v>
                </c:pt>
                <c:pt idx="4">
                  <c:v>1072.26</c:v>
                </c:pt>
              </c:numCache>
            </c:numRef>
          </c:val>
          <c:extLst xmlns:c16r2="http://schemas.microsoft.com/office/drawing/2015/06/chart">
            <c:ext xmlns:c16="http://schemas.microsoft.com/office/drawing/2014/chart" uri="{C3380CC4-5D6E-409C-BE32-E72D297353CC}">
              <c16:uniqueId val="{00000000-417F-4507-804A-8326DA43E07E}"/>
            </c:ext>
          </c:extLst>
        </c:ser>
        <c:ser>
          <c:idx val="1"/>
          <c:order val="1"/>
          <c:tx>
            <c:strRef>
              <c:f>'Tenure Split (Mid and SW Wales)'!$B$58</c:f>
              <c:strCache>
                <c:ptCount val="1"/>
                <c:pt idx="0">
                  <c:v>Affordable Housing</c:v>
                </c:pt>
              </c:strCache>
            </c:strRef>
          </c:tx>
          <c:spPr>
            <a:solidFill>
              <a:srgbClr val="9DC3E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'Tenure Split (Mid and SW Wales)'!$C$56:$G$56</c:f>
              <c:strCache>
                <c:ptCount val="5"/>
                <c:pt idx="0">
                  <c:v>2018/19</c:v>
                </c:pt>
                <c:pt idx="1">
                  <c:v>2019/20</c:v>
                </c:pt>
                <c:pt idx="2">
                  <c:v>2020/21</c:v>
                </c:pt>
                <c:pt idx="3">
                  <c:v>2021/22</c:v>
                </c:pt>
                <c:pt idx="4">
                  <c:v>2022/23</c:v>
                </c:pt>
              </c:strCache>
            </c:strRef>
          </c:cat>
          <c:val>
            <c:numRef>
              <c:f>'Tenure Split (Mid and SW Wales)'!$C$58:$G$58</c:f>
              <c:numCache>
                <c:formatCode>_-* #,##0_-;\-* #,##0_-;_-* "-"??_-;_-@_-</c:formatCode>
                <c:ptCount val="5"/>
                <c:pt idx="0">
                  <c:v>890.67999999999984</c:v>
                </c:pt>
                <c:pt idx="1">
                  <c:v>862.92999999999984</c:v>
                </c:pt>
                <c:pt idx="2">
                  <c:v>862.56</c:v>
                </c:pt>
                <c:pt idx="3">
                  <c:v>906.58999999999992</c:v>
                </c:pt>
                <c:pt idx="4">
                  <c:v>860.33999999999992</c:v>
                </c:pt>
              </c:numCache>
            </c:numRef>
          </c:val>
          <c:extLst xmlns:c16r2="http://schemas.microsoft.com/office/drawing/2015/06/chart">
            <c:ext xmlns:c16="http://schemas.microsoft.com/office/drawing/2014/chart" uri="{C3380CC4-5D6E-409C-BE32-E72D297353CC}">
              <c16:uniqueId val="{00000001-417F-4507-804A-8326DA43E07E}"/>
            </c:ext>
          </c:extLst>
        </c:ser>
        <c:dLbls>
          <c:showLegendKey val="0"/>
          <c:showVal val="0"/>
          <c:showCatName val="0"/>
          <c:showSerName val="0"/>
          <c:showPercent val="0"/>
          <c:showBubbleSize val="0"/>
        </c:dLbls>
        <c:gapWidth val="163"/>
        <c:overlap val="100"/>
        <c:axId val="253894016"/>
        <c:axId val="253895808"/>
      </c:barChart>
      <c:catAx>
        <c:axId val="253894016"/>
        <c:scaling>
          <c:orientation val="minMax"/>
        </c:scaling>
        <c:delete val="0"/>
        <c:axPos val="b"/>
        <c:numFmt formatCode="General" sourceLinked="1"/>
        <c:majorTickMark val="out"/>
        <c:minorTickMark val="none"/>
        <c:tickLblPos val="nextTo"/>
        <c:crossAx val="253895808"/>
        <c:crosses val="autoZero"/>
        <c:auto val="1"/>
        <c:lblAlgn val="ctr"/>
        <c:lblOffset val="100"/>
        <c:noMultiLvlLbl val="0"/>
      </c:catAx>
      <c:valAx>
        <c:axId val="253895808"/>
        <c:scaling>
          <c:orientation val="minMax"/>
          <c:max val="3000"/>
        </c:scaling>
        <c:delete val="0"/>
        <c:axPos val="l"/>
        <c:numFmt formatCode="#,##0" sourceLinked="0"/>
        <c:majorTickMark val="out"/>
        <c:minorTickMark val="none"/>
        <c:tickLblPos val="nextTo"/>
        <c:crossAx val="253894016"/>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Housing Need: 5 Year Tenure Split </a:t>
            </a:r>
          </a:p>
          <a:p>
            <a:pPr>
              <a:defRPr sz="1400"/>
            </a:pPr>
            <a:r>
              <a:rPr lang="en-GB" sz="1400"/>
              <a:t>User Assumptions (Mid</a:t>
            </a:r>
            <a:r>
              <a:rPr lang="en-GB" sz="1400" baseline="0"/>
              <a:t> and South West</a:t>
            </a:r>
            <a:r>
              <a:rPr lang="en-GB" sz="1400"/>
              <a:t> Wales)</a:t>
            </a:r>
          </a:p>
        </c:rich>
      </c:tx>
      <c:overlay val="0"/>
    </c:title>
    <c:autoTitleDeleted val="0"/>
    <c:plotArea>
      <c:layout/>
      <c:pieChart>
        <c:varyColors val="1"/>
        <c:ser>
          <c:idx val="0"/>
          <c:order val="0"/>
          <c:dPt>
            <c:idx val="0"/>
            <c:bubble3D val="0"/>
            <c:spPr>
              <a:solidFill>
                <a:srgbClr val="2E75B6"/>
              </a:solidFill>
            </c:spPr>
            <c:extLst xmlns:c16r2="http://schemas.microsoft.com/office/drawing/2015/06/chart">
              <c:ext xmlns:c16="http://schemas.microsoft.com/office/drawing/2014/chart" uri="{C3380CC4-5D6E-409C-BE32-E72D297353CC}">
                <c16:uniqueId val="{00000001-1192-4196-B59F-BBF7FAF1DFB9}"/>
              </c:ext>
            </c:extLst>
          </c:dPt>
          <c:dPt>
            <c:idx val="1"/>
            <c:bubble3D val="0"/>
            <c:spPr>
              <a:solidFill>
                <a:srgbClr val="9DC3E6"/>
              </a:solidFill>
            </c:spPr>
            <c:extLst xmlns:c16r2="http://schemas.microsoft.com/office/drawing/2015/06/chart">
              <c:ext xmlns:c16="http://schemas.microsoft.com/office/drawing/2014/chart" uri="{C3380CC4-5D6E-409C-BE32-E72D297353CC}">
                <c16:uniqueId val="{00000003-1192-4196-B59F-BBF7FAF1DFB9}"/>
              </c:ext>
            </c:extLst>
          </c:dPt>
          <c:dPt>
            <c:idx val="2"/>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5-1192-4196-B59F-BBF7FAF1DFB9}"/>
              </c:ext>
            </c:extLst>
          </c:dPt>
          <c:dPt>
            <c:idx val="3"/>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7-1192-4196-B59F-BBF7FAF1DFB9}"/>
              </c:ext>
            </c:extLst>
          </c:dPt>
          <c:dLbls>
            <c:spPr>
              <a:noFill/>
              <a:ln>
                <a:noFill/>
              </a:ln>
              <a:effectLst/>
            </c:spPr>
            <c:dLblPos val="ct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strRef>
              <c:f>'Tenure Split (Mid and SW Wales)'!$B$62:$B$63</c:f>
              <c:strCache>
                <c:ptCount val="2"/>
                <c:pt idx="0">
                  <c:v>Market Housing</c:v>
                </c:pt>
                <c:pt idx="1">
                  <c:v>Affordable</c:v>
                </c:pt>
              </c:strCache>
            </c:strRef>
          </c:cat>
          <c:val>
            <c:numRef>
              <c:f>'Tenure Split (Mid and SW Wales)'!$I$62:$I$63</c:f>
              <c:numCache>
                <c:formatCode>0%</c:formatCode>
                <c:ptCount val="2"/>
                <c:pt idx="0">
                  <c:v>0.55650106243043618</c:v>
                </c:pt>
                <c:pt idx="1">
                  <c:v>0.44349893756956382</c:v>
                </c:pt>
              </c:numCache>
            </c:numRef>
          </c:val>
          <c:extLst xmlns:c16r2="http://schemas.microsoft.com/office/drawing/2015/06/chart">
            <c:ext xmlns:c16="http://schemas.microsoft.com/office/drawing/2014/chart" uri="{C3380CC4-5D6E-409C-BE32-E72D297353CC}">
              <c16:uniqueId val="{00000008-1192-4196-B59F-BBF7FAF1DFB9}"/>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Yearly Housing Need Tenure Split - User Assumptions</a:t>
            </a:r>
          </a:p>
          <a:p>
            <a:pPr>
              <a:defRPr sz="1400"/>
            </a:pPr>
            <a:r>
              <a:rPr lang="en-GB" sz="1400"/>
              <a:t>(South</a:t>
            </a:r>
            <a:r>
              <a:rPr lang="en-GB" sz="1400" baseline="0"/>
              <a:t> East </a:t>
            </a:r>
            <a:r>
              <a:rPr lang="en-GB" sz="1400"/>
              <a:t>Wales)</a:t>
            </a:r>
          </a:p>
        </c:rich>
      </c:tx>
      <c:overlay val="0"/>
    </c:title>
    <c:autoTitleDeleted val="0"/>
    <c:plotArea>
      <c:layout/>
      <c:barChart>
        <c:barDir val="col"/>
        <c:grouping val="stacked"/>
        <c:varyColors val="0"/>
        <c:ser>
          <c:idx val="0"/>
          <c:order val="0"/>
          <c:tx>
            <c:strRef>
              <c:f>'Tenure Split (SE Wales)'!$B$93</c:f>
              <c:strCache>
                <c:ptCount val="1"/>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(SE Wales)'!$C$92:$G$92</c:f>
            </c:multiLvlStrRef>
          </c:cat>
          <c:val>
            <c:numRef>
              <c:f>'Tenure Split (SE Wales)'!$C$93:$G$93</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3E11-402B-BA84-F0961ED254F4}"/>
            </c:ext>
          </c:extLst>
        </c:ser>
        <c:ser>
          <c:idx val="1"/>
          <c:order val="1"/>
          <c:tx>
            <c:strRef>
              <c:f>'Tenure Split (SE Wales)'!$B$94</c:f>
              <c:strCache>
                <c:ptCount val="1"/>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(SE Wales)'!$C$92:$G$92</c:f>
            </c:multiLvlStrRef>
          </c:cat>
          <c:val>
            <c:numRef>
              <c:f>'Tenure Split (SE Wales)'!$C$94:$G$94</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3E11-402B-BA84-F0961ED254F4}"/>
            </c:ext>
          </c:extLst>
        </c:ser>
        <c:ser>
          <c:idx val="2"/>
          <c:order val="2"/>
          <c:tx>
            <c:strRef>
              <c:f>'Tenure Split (SE Wales)'!$B$95</c:f>
              <c:strCache>
                <c:ptCount val="1"/>
                <c:pt idx="0">
                  <c:v>  </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(SE Wales)'!$C$92:$G$92</c:f>
            </c:multiLvlStrRef>
          </c:cat>
          <c:val>
            <c:numRef>
              <c:f>'Tenure Split (SE Wales)'!$C$95:$G$95</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3E11-402B-BA84-F0961ED254F4}"/>
            </c:ext>
          </c:extLst>
        </c:ser>
        <c:ser>
          <c:idx val="3"/>
          <c:order val="3"/>
          <c:tx>
            <c:strRef>
              <c:f>'Tenure Split (SE Wales)'!$B$96</c:f>
              <c:strCache>
                <c:ptCount val="1"/>
                <c:pt idx="0">
                  <c:v>  </c:v>
                </c:pt>
              </c:strCache>
            </c:strRef>
          </c:tx>
          <c:spPr>
            <a:solidFill>
              <a:schemeClr val="accent1">
                <a:lumMod val="20000"/>
                <a:lumOff val="80000"/>
              </a:schemeClr>
            </a:solidFill>
          </c:spPr>
          <c:invertIfNegative val="0"/>
          <c:dLbls>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3E11-402B-BA84-F0961ED254F4}"/>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(SE Wales)'!$C$92:$G$92</c:f>
            </c:multiLvlStrRef>
          </c:cat>
          <c:val>
            <c:numRef>
              <c:f>'Tenure Split (SE Wales)'!$C$96:$G$96</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3E11-402B-BA84-F0961ED254F4}"/>
            </c:ext>
          </c:extLst>
        </c:ser>
        <c:dLbls>
          <c:showLegendKey val="0"/>
          <c:showVal val="0"/>
          <c:showCatName val="0"/>
          <c:showSerName val="0"/>
          <c:showPercent val="0"/>
          <c:showBubbleSize val="0"/>
        </c:dLbls>
        <c:gapWidth val="163"/>
        <c:overlap val="100"/>
        <c:axId val="255820160"/>
        <c:axId val="255821696"/>
      </c:barChart>
      <c:catAx>
        <c:axId val="255820160"/>
        <c:scaling>
          <c:orientation val="minMax"/>
        </c:scaling>
        <c:delete val="0"/>
        <c:axPos val="b"/>
        <c:numFmt formatCode="General" sourceLinked="1"/>
        <c:majorTickMark val="out"/>
        <c:minorTickMark val="none"/>
        <c:tickLblPos val="nextTo"/>
        <c:crossAx val="255821696"/>
        <c:crosses val="autoZero"/>
        <c:auto val="1"/>
        <c:lblAlgn val="ctr"/>
        <c:lblOffset val="100"/>
        <c:noMultiLvlLbl val="0"/>
      </c:catAx>
      <c:valAx>
        <c:axId val="255821696"/>
        <c:scaling>
          <c:orientation val="minMax"/>
          <c:max val="6000"/>
          <c:min val="0"/>
        </c:scaling>
        <c:delete val="0"/>
        <c:axPos val="l"/>
        <c:numFmt formatCode="#,##0" sourceLinked="0"/>
        <c:majorTickMark val="out"/>
        <c:minorTickMark val="none"/>
        <c:tickLblPos val="nextTo"/>
        <c:crossAx val="255820160"/>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Housing Need: 5 Year Tenure Split </a:t>
            </a:r>
          </a:p>
          <a:p>
            <a:pPr>
              <a:defRPr sz="1400"/>
            </a:pPr>
            <a:r>
              <a:rPr lang="en-GB" sz="1400"/>
              <a:t>User Assumptions (South East Wales)</a:t>
            </a:r>
          </a:p>
        </c:rich>
      </c:tx>
      <c:overlay val="0"/>
    </c:title>
    <c:autoTitleDeleted val="0"/>
    <c:plotArea>
      <c:layout/>
      <c:pieChart>
        <c:varyColors val="1"/>
        <c:ser>
          <c:idx val="0"/>
          <c:order val="0"/>
          <c:dPt>
            <c:idx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1-1B3E-44B1-8131-484D006E2B43}"/>
              </c:ext>
            </c:extLst>
          </c:dPt>
          <c:dPt>
            <c:idx val="1"/>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3-1B3E-44B1-8131-484D006E2B43}"/>
              </c:ext>
            </c:extLst>
          </c:dPt>
          <c:dPt>
            <c:idx val="2"/>
            <c:bubble3D val="0"/>
            <c:spPr>
              <a:solidFill>
                <a:schemeClr val="accent1">
                  <a:lumMod val="60000"/>
                  <a:lumOff val="40000"/>
                </a:schemeClr>
              </a:solidFill>
            </c:spPr>
            <c:extLst xmlns:c16r2="http://schemas.microsoft.com/office/drawing/2015/06/chart">
              <c:ext xmlns:c16="http://schemas.microsoft.com/office/drawing/2014/chart" uri="{C3380CC4-5D6E-409C-BE32-E72D297353CC}">
                <c16:uniqueId val="{00000005-1B3E-44B1-8131-484D006E2B43}"/>
              </c:ext>
            </c:extLst>
          </c:dPt>
          <c:dPt>
            <c:idx val="3"/>
            <c:bubble3D val="0"/>
            <c:spPr>
              <a:solidFill>
                <a:schemeClr val="tx2">
                  <a:lumMod val="20000"/>
                  <a:lumOff val="80000"/>
                </a:schemeClr>
              </a:solidFill>
            </c:spPr>
            <c:extLst xmlns:c16r2="http://schemas.microsoft.com/office/drawing/2015/06/chart">
              <c:ext xmlns:c16="http://schemas.microsoft.com/office/drawing/2014/chart" uri="{C3380CC4-5D6E-409C-BE32-E72D297353CC}">
                <c16:uniqueId val="{00000007-1B3E-44B1-8131-484D006E2B43}"/>
              </c:ext>
            </c:extLst>
          </c:dPt>
          <c:dLbls>
            <c:spPr>
              <a:noFill/>
              <a:ln>
                <a:noFill/>
              </a:ln>
              <a:effectLst/>
            </c:spPr>
            <c:dLblPos val="ct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multiLvlStrRef>
              <c:f>'Tenure Split (SE Wales)'!$B$101:$B$104</c:f>
            </c:multiLvlStrRef>
          </c:cat>
          <c:val>
            <c:numRef>
              <c:f>'Tenure Split (SE Wales)'!$I$101:$I$104</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1B3E-44B1-8131-484D006E2B4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Annual Housing Need Tenure Split - User Assumptions</a:t>
            </a:r>
          </a:p>
          <a:p>
            <a:pPr>
              <a:defRPr sz="1400"/>
            </a:pPr>
            <a:r>
              <a:rPr lang="en-GB" sz="1400"/>
              <a:t>(South</a:t>
            </a:r>
            <a:r>
              <a:rPr lang="en-GB" sz="1400" baseline="0"/>
              <a:t> East </a:t>
            </a:r>
            <a:r>
              <a:rPr lang="en-GB" sz="1400"/>
              <a:t>Wales)</a:t>
            </a:r>
          </a:p>
        </c:rich>
      </c:tx>
      <c:overlay val="0"/>
    </c:title>
    <c:autoTitleDeleted val="0"/>
    <c:plotArea>
      <c:layout/>
      <c:barChart>
        <c:barDir val="col"/>
        <c:grouping val="stacked"/>
        <c:varyColors val="0"/>
        <c:ser>
          <c:idx val="0"/>
          <c:order val="0"/>
          <c:tx>
            <c:strRef>
              <c:f>'Tenure Split (SE Wales)'!$B$57</c:f>
              <c:strCache>
                <c:ptCount val="1"/>
                <c:pt idx="0">
                  <c:v>Market Housing</c:v>
                </c:pt>
              </c:strCache>
            </c:strRef>
          </c:tx>
          <c:spPr>
            <a:solidFill>
              <a:srgbClr val="2E75B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'Tenure Split (SE Wales)'!$C$56:$G$56</c:f>
              <c:strCache>
                <c:ptCount val="5"/>
                <c:pt idx="0">
                  <c:v>2018/19</c:v>
                </c:pt>
                <c:pt idx="1">
                  <c:v>2019/20</c:v>
                </c:pt>
                <c:pt idx="2">
                  <c:v>2020/21</c:v>
                </c:pt>
                <c:pt idx="3">
                  <c:v>2021/22</c:v>
                </c:pt>
                <c:pt idx="4">
                  <c:v>2022/23</c:v>
                </c:pt>
              </c:strCache>
            </c:strRef>
          </c:cat>
          <c:val>
            <c:numRef>
              <c:f>'Tenure Split (SE Wales)'!$C$57:$G$57</c:f>
              <c:numCache>
                <c:formatCode>_-* #,##0_-;\-* #,##0_-;_-* "-"??_-;_-@_-</c:formatCode>
                <c:ptCount val="5"/>
                <c:pt idx="0">
                  <c:v>2432.4</c:v>
                </c:pt>
                <c:pt idx="1">
                  <c:v>2369.4</c:v>
                </c:pt>
                <c:pt idx="2">
                  <c:v>2412.6</c:v>
                </c:pt>
                <c:pt idx="3">
                  <c:v>2571</c:v>
                </c:pt>
                <c:pt idx="4">
                  <c:v>2465.4</c:v>
                </c:pt>
              </c:numCache>
            </c:numRef>
          </c:val>
          <c:extLst xmlns:c16r2="http://schemas.microsoft.com/office/drawing/2015/06/chart">
            <c:ext xmlns:c16="http://schemas.microsoft.com/office/drawing/2014/chart" uri="{C3380CC4-5D6E-409C-BE32-E72D297353CC}">
              <c16:uniqueId val="{00000000-8C17-498D-8CA2-07E0678DB670}"/>
            </c:ext>
          </c:extLst>
        </c:ser>
        <c:ser>
          <c:idx val="1"/>
          <c:order val="1"/>
          <c:tx>
            <c:strRef>
              <c:f>'Tenure Split (SE Wales)'!$B$58</c:f>
              <c:strCache>
                <c:ptCount val="1"/>
                <c:pt idx="0">
                  <c:v>Affordable Housing</c:v>
                </c:pt>
              </c:strCache>
            </c:strRef>
          </c:tx>
          <c:spPr>
            <a:solidFill>
              <a:srgbClr val="9DC3E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'Tenure Split (SE Wales)'!$C$56:$G$56</c:f>
              <c:strCache>
                <c:ptCount val="5"/>
                <c:pt idx="0">
                  <c:v>2018/19</c:v>
                </c:pt>
                <c:pt idx="1">
                  <c:v>2019/20</c:v>
                </c:pt>
                <c:pt idx="2">
                  <c:v>2020/21</c:v>
                </c:pt>
                <c:pt idx="3">
                  <c:v>2021/22</c:v>
                </c:pt>
                <c:pt idx="4">
                  <c:v>2022/23</c:v>
                </c:pt>
              </c:strCache>
            </c:strRef>
          </c:cat>
          <c:val>
            <c:numRef>
              <c:f>'Tenure Split (SE Wales)'!$C$58:$G$58</c:f>
              <c:numCache>
                <c:formatCode>_-* #,##0_-;\-* #,##0_-;_-* "-"??_-;_-@_-</c:formatCode>
                <c:ptCount val="5"/>
                <c:pt idx="0">
                  <c:v>2270.9999999999995</c:v>
                </c:pt>
                <c:pt idx="1">
                  <c:v>2228.9999999999995</c:v>
                </c:pt>
                <c:pt idx="2">
                  <c:v>2257.7999999999997</c:v>
                </c:pt>
                <c:pt idx="3">
                  <c:v>2363.3999999999996</c:v>
                </c:pt>
                <c:pt idx="4">
                  <c:v>2292.9999999999995</c:v>
                </c:pt>
              </c:numCache>
            </c:numRef>
          </c:val>
          <c:extLst xmlns:c16r2="http://schemas.microsoft.com/office/drawing/2015/06/chart">
            <c:ext xmlns:c16="http://schemas.microsoft.com/office/drawing/2014/chart" uri="{C3380CC4-5D6E-409C-BE32-E72D297353CC}">
              <c16:uniqueId val="{00000001-8C17-498D-8CA2-07E0678DB670}"/>
            </c:ext>
          </c:extLst>
        </c:ser>
        <c:dLbls>
          <c:showLegendKey val="0"/>
          <c:showVal val="0"/>
          <c:showCatName val="0"/>
          <c:showSerName val="0"/>
          <c:showPercent val="0"/>
          <c:showBubbleSize val="0"/>
        </c:dLbls>
        <c:gapWidth val="163"/>
        <c:overlap val="100"/>
        <c:axId val="257666432"/>
        <c:axId val="257668224"/>
      </c:barChart>
      <c:catAx>
        <c:axId val="257666432"/>
        <c:scaling>
          <c:orientation val="minMax"/>
        </c:scaling>
        <c:delete val="0"/>
        <c:axPos val="b"/>
        <c:numFmt formatCode="General" sourceLinked="1"/>
        <c:majorTickMark val="out"/>
        <c:minorTickMark val="none"/>
        <c:tickLblPos val="nextTo"/>
        <c:crossAx val="257668224"/>
        <c:crosses val="autoZero"/>
        <c:auto val="1"/>
        <c:lblAlgn val="ctr"/>
        <c:lblOffset val="100"/>
        <c:noMultiLvlLbl val="0"/>
      </c:catAx>
      <c:valAx>
        <c:axId val="257668224"/>
        <c:scaling>
          <c:orientation val="minMax"/>
          <c:max val="6000"/>
        </c:scaling>
        <c:delete val="0"/>
        <c:axPos val="l"/>
        <c:numFmt formatCode="#,##0" sourceLinked="0"/>
        <c:majorTickMark val="out"/>
        <c:minorTickMark val="none"/>
        <c:tickLblPos val="nextTo"/>
        <c:crossAx val="257666432"/>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Housing Need: 5 Year Tenure Split </a:t>
            </a:r>
          </a:p>
          <a:p>
            <a:pPr>
              <a:defRPr sz="1400"/>
            </a:pPr>
            <a:r>
              <a:rPr lang="en-GB" sz="1400"/>
              <a:t>User Assumptions (</a:t>
            </a:r>
            <a:r>
              <a:rPr lang="en-GB" sz="1400" baseline="0"/>
              <a:t>South East </a:t>
            </a:r>
            <a:r>
              <a:rPr lang="en-GB" sz="1400"/>
              <a:t>Wales)</a:t>
            </a:r>
          </a:p>
        </c:rich>
      </c:tx>
      <c:overlay val="0"/>
    </c:title>
    <c:autoTitleDeleted val="0"/>
    <c:plotArea>
      <c:layout/>
      <c:pieChart>
        <c:varyColors val="1"/>
        <c:ser>
          <c:idx val="0"/>
          <c:order val="0"/>
          <c:dPt>
            <c:idx val="0"/>
            <c:bubble3D val="0"/>
            <c:spPr>
              <a:solidFill>
                <a:srgbClr val="2E75B6"/>
              </a:solidFill>
            </c:spPr>
            <c:extLst xmlns:c16r2="http://schemas.microsoft.com/office/drawing/2015/06/chart">
              <c:ext xmlns:c16="http://schemas.microsoft.com/office/drawing/2014/chart" uri="{C3380CC4-5D6E-409C-BE32-E72D297353CC}">
                <c16:uniqueId val="{00000001-24F2-4506-A120-BB0D897609FC}"/>
              </c:ext>
            </c:extLst>
          </c:dPt>
          <c:dPt>
            <c:idx val="1"/>
            <c:bubble3D val="0"/>
            <c:spPr>
              <a:solidFill>
                <a:srgbClr val="9DC3E6"/>
              </a:solidFill>
            </c:spPr>
            <c:extLst xmlns:c16r2="http://schemas.microsoft.com/office/drawing/2015/06/chart">
              <c:ext xmlns:c16="http://schemas.microsoft.com/office/drawing/2014/chart" uri="{C3380CC4-5D6E-409C-BE32-E72D297353CC}">
                <c16:uniqueId val="{00000003-24F2-4506-A120-BB0D897609FC}"/>
              </c:ext>
            </c:extLst>
          </c:dPt>
          <c:dPt>
            <c:idx val="2"/>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5-24F2-4506-A120-BB0D897609FC}"/>
              </c:ext>
            </c:extLst>
          </c:dPt>
          <c:dPt>
            <c:idx val="3"/>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7-24F2-4506-A120-BB0D897609FC}"/>
              </c:ext>
            </c:extLst>
          </c:dPt>
          <c:dLbls>
            <c:spPr>
              <a:noFill/>
              <a:ln>
                <a:noFill/>
              </a:ln>
              <a:effectLst/>
            </c:spPr>
            <c:dLblPos val="ct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strRef>
              <c:f>'Tenure Split (SE Wales)'!$B$62:$B$63</c:f>
              <c:strCache>
                <c:ptCount val="2"/>
                <c:pt idx="0">
                  <c:v>Market Housing</c:v>
                </c:pt>
                <c:pt idx="1">
                  <c:v>Affordable</c:v>
                </c:pt>
              </c:strCache>
            </c:strRef>
          </c:cat>
          <c:val>
            <c:numRef>
              <c:f>'Tenure Split (SE Wales)'!$I$62:$I$63</c:f>
              <c:numCache>
                <c:formatCode>0%</c:formatCode>
                <c:ptCount val="2"/>
                <c:pt idx="0">
                  <c:v>0.51767589266849778</c:v>
                </c:pt>
                <c:pt idx="1">
                  <c:v>0.48232410733150216</c:v>
                </c:pt>
              </c:numCache>
            </c:numRef>
          </c:val>
          <c:extLst xmlns:c16r2="http://schemas.microsoft.com/office/drawing/2015/06/chart">
            <c:ext xmlns:c16="http://schemas.microsoft.com/office/drawing/2014/chart" uri="{C3380CC4-5D6E-409C-BE32-E72D297353CC}">
              <c16:uniqueId val="{00000008-24F2-4506-A120-BB0D897609FC}"/>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Housing Need: 5 Year Tenure Split </a:t>
            </a:r>
          </a:p>
          <a:p>
            <a:pPr>
              <a:defRPr sz="1400"/>
            </a:pPr>
            <a:r>
              <a:rPr lang="en-GB" sz="1400"/>
              <a:t>User Assumptions (Wales)</a:t>
            </a:r>
          </a:p>
        </c:rich>
      </c:tx>
      <c:overlay val="0"/>
    </c:title>
    <c:autoTitleDeleted val="0"/>
    <c:plotArea>
      <c:layout/>
      <c:pieChart>
        <c:varyColors val="1"/>
        <c:ser>
          <c:idx val="0"/>
          <c:order val="0"/>
          <c:dPt>
            <c:idx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1-3B63-4545-868A-9C4DC3FD8BB6}"/>
              </c:ext>
            </c:extLst>
          </c:dPt>
          <c:dPt>
            <c:idx val="1"/>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3-3B63-4545-868A-9C4DC3FD8BB6}"/>
              </c:ext>
            </c:extLst>
          </c:dPt>
          <c:dPt>
            <c:idx val="2"/>
            <c:bubble3D val="0"/>
            <c:spPr>
              <a:solidFill>
                <a:schemeClr val="accent1">
                  <a:lumMod val="40000"/>
                  <a:lumOff val="60000"/>
                </a:schemeClr>
              </a:solidFill>
            </c:spPr>
            <c:extLst xmlns:c16r2="http://schemas.microsoft.com/office/drawing/2015/06/chart">
              <c:ext xmlns:c16="http://schemas.microsoft.com/office/drawing/2014/chart" uri="{C3380CC4-5D6E-409C-BE32-E72D297353CC}">
                <c16:uniqueId val="{00000005-3B63-4545-868A-9C4DC3FD8BB6}"/>
              </c:ext>
            </c:extLst>
          </c:dPt>
          <c:dPt>
            <c:idx val="3"/>
            <c:bubble3D val="0"/>
            <c:spPr>
              <a:solidFill>
                <a:schemeClr val="accent1">
                  <a:lumMod val="20000"/>
                  <a:lumOff val="80000"/>
                </a:schemeClr>
              </a:solidFill>
            </c:spPr>
            <c:extLst xmlns:c16r2="http://schemas.microsoft.com/office/drawing/2015/06/chart">
              <c:ext xmlns:c16="http://schemas.microsoft.com/office/drawing/2014/chart" uri="{C3380CC4-5D6E-409C-BE32-E72D297353CC}">
                <c16:uniqueId val="{00000007-3B63-4545-868A-9C4DC3FD8BB6}"/>
              </c:ext>
            </c:extLst>
          </c:dPt>
          <c:dLbls>
            <c:spPr>
              <a:noFill/>
              <a:ln>
                <a:noFill/>
              </a:ln>
              <a:effectLst/>
            </c:spPr>
            <c:dLblPos val="ct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multiLvlStrRef>
              <c:f>'Tenure Split (WALES)'!$B$101:$B$104</c:f>
            </c:multiLvlStrRef>
          </c:cat>
          <c:val>
            <c:numRef>
              <c:f>'Tenure Split (WALES)'!$I$101:$I$104</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3B63-4545-868A-9C4DC3FD8BB6}"/>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Annual Housing Need Tenure Split - User Assumptions</a:t>
            </a:r>
          </a:p>
          <a:p>
            <a:pPr>
              <a:defRPr sz="1400"/>
            </a:pPr>
            <a:r>
              <a:rPr lang="en-GB" sz="1400"/>
              <a:t>(Wales)</a:t>
            </a:r>
          </a:p>
        </c:rich>
      </c:tx>
      <c:overlay val="0"/>
    </c:title>
    <c:autoTitleDeleted val="0"/>
    <c:plotArea>
      <c:layout/>
      <c:barChart>
        <c:barDir val="col"/>
        <c:grouping val="stacked"/>
        <c:varyColors val="0"/>
        <c:ser>
          <c:idx val="0"/>
          <c:order val="0"/>
          <c:tx>
            <c:strRef>
              <c:f>'Tenure Split (WALES)'!$B$57</c:f>
              <c:strCache>
                <c:ptCount val="1"/>
                <c:pt idx="0">
                  <c:v>Market Housing</c:v>
                </c:pt>
              </c:strCache>
            </c:strRef>
          </c:tx>
          <c:spPr>
            <a:solidFill>
              <a:srgbClr val="2E75B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'Tenure Split (WALES)'!$C$56:$G$56</c:f>
              <c:strCache>
                <c:ptCount val="5"/>
                <c:pt idx="0">
                  <c:v>2018/19</c:v>
                </c:pt>
                <c:pt idx="1">
                  <c:v>2019/20</c:v>
                </c:pt>
                <c:pt idx="2">
                  <c:v>2020/21</c:v>
                </c:pt>
                <c:pt idx="3">
                  <c:v>2021/22</c:v>
                </c:pt>
                <c:pt idx="4">
                  <c:v>2022/23</c:v>
                </c:pt>
              </c:strCache>
            </c:strRef>
          </c:cat>
          <c:val>
            <c:numRef>
              <c:f>'Tenure Split (WALES)'!$C$57:$G$57</c:f>
              <c:numCache>
                <c:formatCode>_-* #,##0_-;\-* #,##0_-;_-* "-"??_-;_-@_-</c:formatCode>
                <c:ptCount val="5"/>
                <c:pt idx="0">
                  <c:v>4475.78</c:v>
                </c:pt>
                <c:pt idx="1">
                  <c:v>4248.6499999999996</c:v>
                </c:pt>
                <c:pt idx="2">
                  <c:v>4287.6899999999996</c:v>
                </c:pt>
                <c:pt idx="3">
                  <c:v>4572.5599999999995</c:v>
                </c:pt>
                <c:pt idx="4">
                  <c:v>4413.16</c:v>
                </c:pt>
              </c:numCache>
            </c:numRef>
          </c:val>
          <c:extLst xmlns:c16r2="http://schemas.microsoft.com/office/drawing/2015/06/chart">
            <c:ext xmlns:c16="http://schemas.microsoft.com/office/drawing/2014/chart" uri="{C3380CC4-5D6E-409C-BE32-E72D297353CC}">
              <c16:uniqueId val="{00000000-7573-44F8-9B8A-510A39ED7C11}"/>
            </c:ext>
          </c:extLst>
        </c:ser>
        <c:ser>
          <c:idx val="1"/>
          <c:order val="1"/>
          <c:tx>
            <c:strRef>
              <c:f>'Tenure Split (WALES)'!$B$58</c:f>
              <c:strCache>
                <c:ptCount val="1"/>
                <c:pt idx="0">
                  <c:v>Affordable Housing</c:v>
                </c:pt>
              </c:strCache>
            </c:strRef>
          </c:tx>
          <c:spPr>
            <a:solidFill>
              <a:srgbClr val="9DC3E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'Tenure Split (WALES)'!$C$56:$G$56</c:f>
              <c:strCache>
                <c:ptCount val="5"/>
                <c:pt idx="0">
                  <c:v>2018/19</c:v>
                </c:pt>
                <c:pt idx="1">
                  <c:v>2019/20</c:v>
                </c:pt>
                <c:pt idx="2">
                  <c:v>2020/21</c:v>
                </c:pt>
                <c:pt idx="3">
                  <c:v>2021/22</c:v>
                </c:pt>
                <c:pt idx="4">
                  <c:v>2022/23</c:v>
                </c:pt>
              </c:strCache>
            </c:strRef>
          </c:cat>
          <c:val>
            <c:numRef>
              <c:f>'Tenure Split (WALES)'!$C$58:$G$58</c:f>
              <c:numCache>
                <c:formatCode>_-* #,##0_-;\-* #,##0_-;_-* "-"??_-;_-@_-</c:formatCode>
                <c:ptCount val="5"/>
                <c:pt idx="0">
                  <c:v>3872.2200000000003</c:v>
                </c:pt>
                <c:pt idx="1">
                  <c:v>3845.3500000000004</c:v>
                </c:pt>
                <c:pt idx="2">
                  <c:v>3870.3100000000004</c:v>
                </c:pt>
                <c:pt idx="3">
                  <c:v>4052.4400000000005</c:v>
                </c:pt>
                <c:pt idx="4">
                  <c:v>3833.84</c:v>
                </c:pt>
              </c:numCache>
            </c:numRef>
          </c:val>
          <c:extLst xmlns:c16r2="http://schemas.microsoft.com/office/drawing/2015/06/chart">
            <c:ext xmlns:c16="http://schemas.microsoft.com/office/drawing/2014/chart" uri="{C3380CC4-5D6E-409C-BE32-E72D297353CC}">
              <c16:uniqueId val="{00000001-7573-44F8-9B8A-510A39ED7C11}"/>
            </c:ext>
          </c:extLst>
        </c:ser>
        <c:dLbls>
          <c:showLegendKey val="0"/>
          <c:showVal val="0"/>
          <c:showCatName val="0"/>
          <c:showSerName val="0"/>
          <c:showPercent val="0"/>
          <c:showBubbleSize val="0"/>
        </c:dLbls>
        <c:gapWidth val="163"/>
        <c:overlap val="100"/>
        <c:axId val="251096448"/>
        <c:axId val="251110528"/>
      </c:barChart>
      <c:catAx>
        <c:axId val="251096448"/>
        <c:scaling>
          <c:orientation val="minMax"/>
        </c:scaling>
        <c:delete val="0"/>
        <c:axPos val="b"/>
        <c:numFmt formatCode="General" sourceLinked="1"/>
        <c:majorTickMark val="out"/>
        <c:minorTickMark val="none"/>
        <c:tickLblPos val="nextTo"/>
        <c:crossAx val="251110528"/>
        <c:crosses val="autoZero"/>
        <c:auto val="1"/>
        <c:lblAlgn val="ctr"/>
        <c:lblOffset val="100"/>
        <c:noMultiLvlLbl val="0"/>
      </c:catAx>
      <c:valAx>
        <c:axId val="251110528"/>
        <c:scaling>
          <c:orientation val="minMax"/>
          <c:max val="10000"/>
        </c:scaling>
        <c:delete val="0"/>
        <c:axPos val="l"/>
        <c:numFmt formatCode="#,##0" sourceLinked="0"/>
        <c:majorTickMark val="out"/>
        <c:minorTickMark val="none"/>
        <c:tickLblPos val="nextTo"/>
        <c:crossAx val="251096448"/>
        <c:crosses val="autoZero"/>
        <c:crossBetween val="between"/>
        <c:majorUnit val="2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Housing Need: 5 Year Tenure Split </a:t>
            </a:r>
          </a:p>
          <a:p>
            <a:pPr>
              <a:defRPr sz="1400"/>
            </a:pPr>
            <a:r>
              <a:rPr lang="en-GB" sz="1400"/>
              <a:t>User Assumptions (Wales)</a:t>
            </a:r>
          </a:p>
        </c:rich>
      </c:tx>
      <c:overlay val="0"/>
    </c:title>
    <c:autoTitleDeleted val="0"/>
    <c:plotArea>
      <c:layout/>
      <c:pieChart>
        <c:varyColors val="1"/>
        <c:ser>
          <c:idx val="0"/>
          <c:order val="0"/>
          <c:dPt>
            <c:idx val="0"/>
            <c:bubble3D val="0"/>
            <c:spPr>
              <a:solidFill>
                <a:srgbClr val="2E75B6"/>
              </a:solidFill>
            </c:spPr>
            <c:extLst xmlns:c16r2="http://schemas.microsoft.com/office/drawing/2015/06/chart">
              <c:ext xmlns:c16="http://schemas.microsoft.com/office/drawing/2014/chart" uri="{C3380CC4-5D6E-409C-BE32-E72D297353CC}">
                <c16:uniqueId val="{00000001-A22A-4AB8-90B9-8FEC5FF9264F}"/>
              </c:ext>
            </c:extLst>
          </c:dPt>
          <c:dPt>
            <c:idx val="1"/>
            <c:bubble3D val="0"/>
            <c:spPr>
              <a:solidFill>
                <a:srgbClr val="9DC3E6"/>
              </a:solidFill>
            </c:spPr>
            <c:extLst xmlns:c16r2="http://schemas.microsoft.com/office/drawing/2015/06/chart">
              <c:ext xmlns:c16="http://schemas.microsoft.com/office/drawing/2014/chart" uri="{C3380CC4-5D6E-409C-BE32-E72D297353CC}">
                <c16:uniqueId val="{00000003-A22A-4AB8-90B9-8FEC5FF9264F}"/>
              </c:ext>
            </c:extLst>
          </c:dPt>
          <c:dPt>
            <c:idx val="2"/>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5-A22A-4AB8-90B9-8FEC5FF9264F}"/>
              </c:ext>
            </c:extLst>
          </c:dPt>
          <c:dPt>
            <c:idx val="3"/>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7-A22A-4AB8-90B9-8FEC5FF9264F}"/>
              </c:ext>
            </c:extLst>
          </c:dPt>
          <c:dLbls>
            <c:spPr>
              <a:noFill/>
              <a:ln>
                <a:noFill/>
              </a:ln>
              <a:effectLst/>
            </c:spPr>
            <c:dLblPos val="ct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strRef>
              <c:f>'Tenure Split (WALES)'!$B$62:$B$63</c:f>
              <c:strCache>
                <c:ptCount val="2"/>
                <c:pt idx="0">
                  <c:v>Market Housing</c:v>
                </c:pt>
                <c:pt idx="1">
                  <c:v>Affordable Housing</c:v>
                </c:pt>
              </c:strCache>
            </c:strRef>
          </c:cat>
          <c:val>
            <c:numRef>
              <c:f>'Tenure Split (WALES)'!$I$62:$I$63</c:f>
              <c:numCache>
                <c:formatCode>0%</c:formatCode>
                <c:ptCount val="2"/>
                <c:pt idx="0">
                  <c:v>0.53042631172839505</c:v>
                </c:pt>
                <c:pt idx="1">
                  <c:v>0.46957368827160501</c:v>
                </c:pt>
              </c:numCache>
            </c:numRef>
          </c:val>
          <c:extLst xmlns:c16r2="http://schemas.microsoft.com/office/drawing/2015/06/chart">
            <c:ext xmlns:c16="http://schemas.microsoft.com/office/drawing/2014/chart" uri="{C3380CC4-5D6E-409C-BE32-E72D297353CC}">
              <c16:uniqueId val="{00000008-A22A-4AB8-90B9-8FEC5FF9264F}"/>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Yearly Housing Need Tenure Split - User Assumptions</a:t>
            </a:r>
          </a:p>
          <a:p>
            <a:pPr>
              <a:defRPr sz="1400"/>
            </a:pPr>
            <a:r>
              <a:rPr lang="en-GB" sz="1400"/>
              <a:t>(North Wales)</a:t>
            </a:r>
          </a:p>
        </c:rich>
      </c:tx>
      <c:overlay val="0"/>
    </c:title>
    <c:autoTitleDeleted val="0"/>
    <c:plotArea>
      <c:layout/>
      <c:barChart>
        <c:barDir val="col"/>
        <c:grouping val="stacked"/>
        <c:varyColors val="0"/>
        <c:ser>
          <c:idx val="0"/>
          <c:order val="0"/>
          <c:tx>
            <c:strRef>
              <c:f>'Tenure Split (North Wales)'!$B$93</c:f>
              <c:strCache>
                <c:ptCount val="1"/>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(North Wales)'!$C$92:$G$92</c:f>
            </c:multiLvlStrRef>
          </c:cat>
          <c:val>
            <c:numRef>
              <c:f>'Tenure Split (North Wales)'!$C$93:$G$93</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7676-4197-84D2-CC1D23E0572E}"/>
            </c:ext>
          </c:extLst>
        </c:ser>
        <c:ser>
          <c:idx val="1"/>
          <c:order val="1"/>
          <c:tx>
            <c:strRef>
              <c:f>'Tenure Split (North Wales)'!$B$94</c:f>
              <c:strCache>
                <c:ptCount val="1"/>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(North Wales)'!$C$92:$G$92</c:f>
            </c:multiLvlStrRef>
          </c:cat>
          <c:val>
            <c:numRef>
              <c:f>'Tenure Split (North Wales)'!$C$94:$G$94</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7676-4197-84D2-CC1D23E0572E}"/>
            </c:ext>
          </c:extLst>
        </c:ser>
        <c:ser>
          <c:idx val="2"/>
          <c:order val="2"/>
          <c:tx>
            <c:strRef>
              <c:f>'Tenure Split (North Wales)'!$B$95</c:f>
              <c:strCache>
                <c:ptCount val="1"/>
                <c:pt idx="0">
                  <c:v>  </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(North Wales)'!$C$92:$G$92</c:f>
            </c:multiLvlStrRef>
          </c:cat>
          <c:val>
            <c:numRef>
              <c:f>'Tenure Split (North Wales)'!$C$95:$G$95</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7676-4197-84D2-CC1D23E0572E}"/>
            </c:ext>
          </c:extLst>
        </c:ser>
        <c:ser>
          <c:idx val="3"/>
          <c:order val="3"/>
          <c:tx>
            <c:strRef>
              <c:f>'Tenure Split (North Wales)'!$B$96</c:f>
              <c:strCache>
                <c:ptCount val="1"/>
                <c:pt idx="0">
                  <c:v>  </c:v>
                </c:pt>
              </c:strCache>
            </c:strRef>
          </c:tx>
          <c:spPr>
            <a:solidFill>
              <a:schemeClr val="accent1">
                <a:lumMod val="20000"/>
                <a:lumOff val="80000"/>
              </a:schemeClr>
            </a:solidFill>
          </c:spPr>
          <c:invertIfNegative val="0"/>
          <c:dLbls>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7676-4197-84D2-CC1D23E0572E}"/>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(North Wales)'!$C$92:$G$92</c:f>
            </c:multiLvlStrRef>
          </c:cat>
          <c:val>
            <c:numRef>
              <c:f>'Tenure Split (North Wales)'!$C$96:$G$96</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7676-4197-84D2-CC1D23E0572E}"/>
            </c:ext>
          </c:extLst>
        </c:ser>
        <c:dLbls>
          <c:showLegendKey val="0"/>
          <c:showVal val="0"/>
          <c:showCatName val="0"/>
          <c:showSerName val="0"/>
          <c:showPercent val="0"/>
          <c:showBubbleSize val="0"/>
        </c:dLbls>
        <c:gapWidth val="163"/>
        <c:overlap val="100"/>
        <c:axId val="251564032"/>
        <c:axId val="251565568"/>
      </c:barChart>
      <c:catAx>
        <c:axId val="251564032"/>
        <c:scaling>
          <c:orientation val="minMax"/>
        </c:scaling>
        <c:delete val="0"/>
        <c:axPos val="b"/>
        <c:numFmt formatCode="General" sourceLinked="1"/>
        <c:majorTickMark val="out"/>
        <c:minorTickMark val="none"/>
        <c:tickLblPos val="nextTo"/>
        <c:crossAx val="251565568"/>
        <c:crosses val="autoZero"/>
        <c:auto val="1"/>
        <c:lblAlgn val="ctr"/>
        <c:lblOffset val="100"/>
        <c:noMultiLvlLbl val="0"/>
      </c:catAx>
      <c:valAx>
        <c:axId val="251565568"/>
        <c:scaling>
          <c:orientation val="minMax"/>
          <c:max val="3000"/>
          <c:min val="0"/>
        </c:scaling>
        <c:delete val="0"/>
        <c:axPos val="l"/>
        <c:numFmt formatCode="#,##0" sourceLinked="0"/>
        <c:majorTickMark val="out"/>
        <c:minorTickMark val="none"/>
        <c:tickLblPos val="nextTo"/>
        <c:crossAx val="251564032"/>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Housing Need: 5 Year Tenure Split </a:t>
            </a:r>
          </a:p>
          <a:p>
            <a:pPr>
              <a:defRPr sz="1400"/>
            </a:pPr>
            <a:r>
              <a:rPr lang="en-GB" sz="1400"/>
              <a:t>User Assumptions (North Wales)</a:t>
            </a:r>
          </a:p>
        </c:rich>
      </c:tx>
      <c:overlay val="0"/>
    </c:title>
    <c:autoTitleDeleted val="0"/>
    <c:plotArea>
      <c:layout/>
      <c:pieChart>
        <c:varyColors val="1"/>
        <c:ser>
          <c:idx val="0"/>
          <c:order val="0"/>
          <c:dPt>
            <c:idx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1-82E2-4019-8E1D-8F478894CD08}"/>
              </c:ext>
            </c:extLst>
          </c:dPt>
          <c:dPt>
            <c:idx val="1"/>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3-82E2-4019-8E1D-8F478894CD08}"/>
              </c:ext>
            </c:extLst>
          </c:dPt>
          <c:dPt>
            <c:idx val="2"/>
            <c:bubble3D val="0"/>
            <c:spPr>
              <a:solidFill>
                <a:schemeClr val="accent1">
                  <a:lumMod val="40000"/>
                  <a:lumOff val="60000"/>
                </a:schemeClr>
              </a:solidFill>
            </c:spPr>
            <c:extLst xmlns:c16r2="http://schemas.microsoft.com/office/drawing/2015/06/chart">
              <c:ext xmlns:c16="http://schemas.microsoft.com/office/drawing/2014/chart" uri="{C3380CC4-5D6E-409C-BE32-E72D297353CC}">
                <c16:uniqueId val="{00000005-82E2-4019-8E1D-8F478894CD08}"/>
              </c:ext>
            </c:extLst>
          </c:dPt>
          <c:dPt>
            <c:idx val="3"/>
            <c:bubble3D val="0"/>
            <c:spPr>
              <a:solidFill>
                <a:schemeClr val="accent1">
                  <a:lumMod val="20000"/>
                  <a:lumOff val="80000"/>
                </a:schemeClr>
              </a:solidFill>
            </c:spPr>
            <c:extLst xmlns:c16r2="http://schemas.microsoft.com/office/drawing/2015/06/chart">
              <c:ext xmlns:c16="http://schemas.microsoft.com/office/drawing/2014/chart" uri="{C3380CC4-5D6E-409C-BE32-E72D297353CC}">
                <c16:uniqueId val="{00000007-82E2-4019-8E1D-8F478894CD08}"/>
              </c:ext>
            </c:extLst>
          </c:dPt>
          <c:dLbls>
            <c:spPr>
              <a:noFill/>
              <a:ln>
                <a:noFill/>
              </a:ln>
              <a:effectLst/>
            </c:spPr>
            <c:dLblPos val="ct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multiLvlStrRef>
              <c:f>'Tenure Split (North Wales)'!$B$101:$B$104</c:f>
            </c:multiLvlStrRef>
          </c:cat>
          <c:val>
            <c:numRef>
              <c:f>'Tenure Split (North Wales)'!$I$101:$I$104</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82E2-4019-8E1D-8F478894CD08}"/>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Annual Housing Need Tenure Split - User Assumptions</a:t>
            </a:r>
          </a:p>
          <a:p>
            <a:pPr>
              <a:defRPr sz="1400"/>
            </a:pPr>
            <a:r>
              <a:rPr lang="en-GB" sz="1400"/>
              <a:t>(North Wales)</a:t>
            </a:r>
          </a:p>
        </c:rich>
      </c:tx>
      <c:overlay val="0"/>
    </c:title>
    <c:autoTitleDeleted val="0"/>
    <c:plotArea>
      <c:layout/>
      <c:barChart>
        <c:barDir val="col"/>
        <c:grouping val="stacked"/>
        <c:varyColors val="0"/>
        <c:ser>
          <c:idx val="0"/>
          <c:order val="0"/>
          <c:tx>
            <c:strRef>
              <c:f>'Tenure Split (North Wales)'!$B$57</c:f>
              <c:strCache>
                <c:ptCount val="1"/>
                <c:pt idx="0">
                  <c:v>Market Housing</c:v>
                </c:pt>
              </c:strCache>
            </c:strRef>
          </c:tx>
          <c:spPr>
            <a:solidFill>
              <a:srgbClr val="2E75B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'Tenure Split (North Wales)'!$C$56:$G$56</c:f>
              <c:strCache>
                <c:ptCount val="5"/>
                <c:pt idx="0">
                  <c:v>2018/19</c:v>
                </c:pt>
                <c:pt idx="1">
                  <c:v>2019/20</c:v>
                </c:pt>
                <c:pt idx="2">
                  <c:v>2020/21</c:v>
                </c:pt>
                <c:pt idx="3">
                  <c:v>2021/22</c:v>
                </c:pt>
                <c:pt idx="4">
                  <c:v>2022/23</c:v>
                </c:pt>
              </c:strCache>
            </c:strRef>
          </c:cat>
          <c:val>
            <c:numRef>
              <c:f>'Tenure Split (North Wales)'!$C$57:$G$57</c:f>
              <c:numCache>
                <c:formatCode>_-* #,##0_-;\-* #,##0_-;_-* "-"??_-;_-@_-</c:formatCode>
                <c:ptCount val="5"/>
                <c:pt idx="0">
                  <c:v>814.79</c:v>
                </c:pt>
                <c:pt idx="1">
                  <c:v>758.06</c:v>
                </c:pt>
                <c:pt idx="2">
                  <c:v>754</c:v>
                </c:pt>
                <c:pt idx="3">
                  <c:v>816.56</c:v>
                </c:pt>
                <c:pt idx="4">
                  <c:v>771.13</c:v>
                </c:pt>
              </c:numCache>
            </c:numRef>
          </c:val>
          <c:extLst xmlns:c16r2="http://schemas.microsoft.com/office/drawing/2015/06/chart">
            <c:ext xmlns:c16="http://schemas.microsoft.com/office/drawing/2014/chart" uri="{C3380CC4-5D6E-409C-BE32-E72D297353CC}">
              <c16:uniqueId val="{00000000-0BB1-4869-9C4A-CF64E807EC84}"/>
            </c:ext>
          </c:extLst>
        </c:ser>
        <c:ser>
          <c:idx val="1"/>
          <c:order val="1"/>
          <c:tx>
            <c:strRef>
              <c:f>'Tenure Split (North Wales)'!$B$58</c:f>
              <c:strCache>
                <c:ptCount val="1"/>
                <c:pt idx="0">
                  <c:v>Affordable Housing</c:v>
                </c:pt>
              </c:strCache>
            </c:strRef>
          </c:tx>
          <c:spPr>
            <a:solidFill>
              <a:srgbClr val="9DC3E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'Tenure Split (North Wales)'!$C$56:$G$56</c:f>
              <c:strCache>
                <c:ptCount val="5"/>
                <c:pt idx="0">
                  <c:v>2018/19</c:v>
                </c:pt>
                <c:pt idx="1">
                  <c:v>2019/20</c:v>
                </c:pt>
                <c:pt idx="2">
                  <c:v>2020/21</c:v>
                </c:pt>
                <c:pt idx="3">
                  <c:v>2021/22</c:v>
                </c:pt>
                <c:pt idx="4">
                  <c:v>2022/23</c:v>
                </c:pt>
              </c:strCache>
            </c:strRef>
          </c:cat>
          <c:val>
            <c:numRef>
              <c:f>'Tenure Split (North Wales)'!$C$58:$G$58</c:f>
              <c:numCache>
                <c:formatCode>_-* #,##0_-;\-* #,##0_-;_-* "-"??_-;_-@_-</c:formatCode>
                <c:ptCount val="5"/>
                <c:pt idx="0">
                  <c:v>814.61000000000013</c:v>
                </c:pt>
                <c:pt idx="1">
                  <c:v>797.34000000000015</c:v>
                </c:pt>
                <c:pt idx="2">
                  <c:v>794.40000000000009</c:v>
                </c:pt>
                <c:pt idx="3">
                  <c:v>815.84000000000015</c:v>
                </c:pt>
                <c:pt idx="4">
                  <c:v>784.2700000000001</c:v>
                </c:pt>
              </c:numCache>
            </c:numRef>
          </c:val>
          <c:extLst xmlns:c16r2="http://schemas.microsoft.com/office/drawing/2015/06/chart">
            <c:ext xmlns:c16="http://schemas.microsoft.com/office/drawing/2014/chart" uri="{C3380CC4-5D6E-409C-BE32-E72D297353CC}">
              <c16:uniqueId val="{00000001-0BB1-4869-9C4A-CF64E807EC84}"/>
            </c:ext>
          </c:extLst>
        </c:ser>
        <c:dLbls>
          <c:showLegendKey val="0"/>
          <c:showVal val="0"/>
          <c:showCatName val="0"/>
          <c:showSerName val="0"/>
          <c:showPercent val="0"/>
          <c:showBubbleSize val="0"/>
        </c:dLbls>
        <c:gapWidth val="163"/>
        <c:overlap val="100"/>
        <c:axId val="251602048"/>
        <c:axId val="251603584"/>
      </c:barChart>
      <c:catAx>
        <c:axId val="251602048"/>
        <c:scaling>
          <c:orientation val="minMax"/>
        </c:scaling>
        <c:delete val="0"/>
        <c:axPos val="b"/>
        <c:numFmt formatCode="General" sourceLinked="1"/>
        <c:majorTickMark val="out"/>
        <c:minorTickMark val="none"/>
        <c:tickLblPos val="nextTo"/>
        <c:crossAx val="251603584"/>
        <c:crosses val="autoZero"/>
        <c:auto val="1"/>
        <c:lblAlgn val="ctr"/>
        <c:lblOffset val="100"/>
        <c:noMultiLvlLbl val="0"/>
      </c:catAx>
      <c:valAx>
        <c:axId val="251603584"/>
        <c:scaling>
          <c:orientation val="minMax"/>
          <c:max val="2000"/>
        </c:scaling>
        <c:delete val="0"/>
        <c:axPos val="l"/>
        <c:numFmt formatCode="#,##0" sourceLinked="0"/>
        <c:majorTickMark val="out"/>
        <c:minorTickMark val="none"/>
        <c:tickLblPos val="nextTo"/>
        <c:crossAx val="251602048"/>
        <c:crosses val="autoZero"/>
        <c:crossBetween val="between"/>
        <c:majorUnit val="5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Housing Need: 5 Year Tenure Split </a:t>
            </a:r>
          </a:p>
          <a:p>
            <a:pPr>
              <a:defRPr sz="1400"/>
            </a:pPr>
            <a:r>
              <a:rPr lang="en-GB" sz="1400"/>
              <a:t>User Assumptions (North Wales)</a:t>
            </a:r>
          </a:p>
        </c:rich>
      </c:tx>
      <c:overlay val="0"/>
    </c:title>
    <c:autoTitleDeleted val="0"/>
    <c:plotArea>
      <c:layout/>
      <c:pieChart>
        <c:varyColors val="1"/>
        <c:ser>
          <c:idx val="0"/>
          <c:order val="0"/>
          <c:dPt>
            <c:idx val="0"/>
            <c:bubble3D val="0"/>
            <c:spPr>
              <a:solidFill>
                <a:srgbClr val="2E75B6"/>
              </a:solidFill>
            </c:spPr>
            <c:extLst xmlns:c16r2="http://schemas.microsoft.com/office/drawing/2015/06/chart">
              <c:ext xmlns:c16="http://schemas.microsoft.com/office/drawing/2014/chart" uri="{C3380CC4-5D6E-409C-BE32-E72D297353CC}">
                <c16:uniqueId val="{00000001-5290-41DB-82A7-575A6D2A70A1}"/>
              </c:ext>
            </c:extLst>
          </c:dPt>
          <c:dPt>
            <c:idx val="1"/>
            <c:bubble3D val="0"/>
            <c:spPr>
              <a:solidFill>
                <a:srgbClr val="9DC3E6"/>
              </a:solidFill>
            </c:spPr>
            <c:extLst xmlns:c16r2="http://schemas.microsoft.com/office/drawing/2015/06/chart">
              <c:ext xmlns:c16="http://schemas.microsoft.com/office/drawing/2014/chart" uri="{C3380CC4-5D6E-409C-BE32-E72D297353CC}">
                <c16:uniqueId val="{00000003-5290-41DB-82A7-575A6D2A70A1}"/>
              </c:ext>
            </c:extLst>
          </c:dPt>
          <c:dPt>
            <c:idx val="2"/>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5-5290-41DB-82A7-575A6D2A70A1}"/>
              </c:ext>
            </c:extLst>
          </c:dPt>
          <c:dPt>
            <c:idx val="3"/>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7-5290-41DB-82A7-575A6D2A70A1}"/>
              </c:ext>
            </c:extLst>
          </c:dPt>
          <c:dLbls>
            <c:spPr>
              <a:noFill/>
              <a:ln>
                <a:noFill/>
              </a:ln>
              <a:effectLst/>
            </c:spPr>
            <c:dLblPos val="ct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strRef>
              <c:f>'Tenure Split (North Wales)'!$B$62:$B$63</c:f>
              <c:strCache>
                <c:ptCount val="2"/>
                <c:pt idx="0">
                  <c:v>Market Housing</c:v>
                </c:pt>
                <c:pt idx="1">
                  <c:v>Affordable</c:v>
                </c:pt>
              </c:strCache>
            </c:strRef>
          </c:cat>
          <c:val>
            <c:numRef>
              <c:f>'Tenure Split (North Wales)'!$I$62:$I$63</c:f>
              <c:numCache>
                <c:formatCode>0%</c:formatCode>
                <c:ptCount val="2"/>
                <c:pt idx="0">
                  <c:v>0.49419770231031435</c:v>
                </c:pt>
                <c:pt idx="1">
                  <c:v>0.50580229768968565</c:v>
                </c:pt>
              </c:numCache>
            </c:numRef>
          </c:val>
          <c:extLst xmlns:c16r2="http://schemas.microsoft.com/office/drawing/2015/06/chart">
            <c:ext xmlns:c16="http://schemas.microsoft.com/office/drawing/2014/chart" uri="{C3380CC4-5D6E-409C-BE32-E72D297353CC}">
              <c16:uniqueId val="{00000008-5290-41DB-82A7-575A6D2A70A1}"/>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Yearly Housing Need Tenure Split - User Assumptions</a:t>
            </a:r>
          </a:p>
          <a:p>
            <a:pPr>
              <a:defRPr sz="1400"/>
            </a:pPr>
            <a:r>
              <a:rPr lang="en-GB" sz="1400"/>
              <a:t>(Mid and South</a:t>
            </a:r>
            <a:r>
              <a:rPr lang="en-GB" sz="1400" baseline="0"/>
              <a:t> West </a:t>
            </a:r>
            <a:r>
              <a:rPr lang="en-GB" sz="1400"/>
              <a:t>Wales)</a:t>
            </a:r>
          </a:p>
        </c:rich>
      </c:tx>
      <c:overlay val="0"/>
    </c:title>
    <c:autoTitleDeleted val="0"/>
    <c:plotArea>
      <c:layout/>
      <c:barChart>
        <c:barDir val="col"/>
        <c:grouping val="stacked"/>
        <c:varyColors val="0"/>
        <c:ser>
          <c:idx val="0"/>
          <c:order val="0"/>
          <c:tx>
            <c:strRef>
              <c:f>'Tenure Split (Mid and SW Wales)'!$B$93</c:f>
              <c:strCache>
                <c:ptCount val="1"/>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(Mid and SW Wales)'!$C$92:$G$92</c:f>
            </c:multiLvlStrRef>
          </c:cat>
          <c:val>
            <c:numRef>
              <c:f>'Tenure Split (Mid and SW Wales)'!$C$93:$G$93</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9B66-42AB-9F26-C88F23B28AD6}"/>
            </c:ext>
          </c:extLst>
        </c:ser>
        <c:ser>
          <c:idx val="1"/>
          <c:order val="1"/>
          <c:tx>
            <c:strRef>
              <c:f>'Tenure Split (Mid and SW Wales)'!$B$94</c:f>
              <c:strCache>
                <c:ptCount val="1"/>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(Mid and SW Wales)'!$C$92:$G$92</c:f>
            </c:multiLvlStrRef>
          </c:cat>
          <c:val>
            <c:numRef>
              <c:f>'Tenure Split (Mid and SW Wales)'!$C$94:$G$94</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9B66-42AB-9F26-C88F23B28AD6}"/>
            </c:ext>
          </c:extLst>
        </c:ser>
        <c:ser>
          <c:idx val="2"/>
          <c:order val="2"/>
          <c:tx>
            <c:strRef>
              <c:f>'Tenure Split (Mid and SW Wales)'!$B$95</c:f>
              <c:strCache>
                <c:ptCount val="1"/>
                <c:pt idx="0">
                  <c:v>  </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(Mid and SW Wales)'!$C$92:$G$92</c:f>
            </c:multiLvlStrRef>
          </c:cat>
          <c:val>
            <c:numRef>
              <c:f>'Tenure Split (Mid and SW Wales)'!$C$95:$G$95</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9B66-42AB-9F26-C88F23B28AD6}"/>
            </c:ext>
          </c:extLst>
        </c:ser>
        <c:ser>
          <c:idx val="3"/>
          <c:order val="3"/>
          <c:tx>
            <c:strRef>
              <c:f>'Tenure Split (Mid and SW Wales)'!$B$96</c:f>
              <c:strCache>
                <c:ptCount val="1"/>
                <c:pt idx="0">
                  <c:v>  </c:v>
                </c:pt>
              </c:strCache>
            </c:strRef>
          </c:tx>
          <c:spPr>
            <a:solidFill>
              <a:schemeClr val="accent1">
                <a:lumMod val="20000"/>
                <a:lumOff val="80000"/>
              </a:schemeClr>
            </a:solidFill>
          </c:spPr>
          <c:invertIfNegative val="0"/>
          <c:dLbls>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9B66-42AB-9F26-C88F23B28AD6}"/>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'Tenure Split (Mid and SW Wales)'!$C$92:$G$92</c:f>
            </c:multiLvlStrRef>
          </c:cat>
          <c:val>
            <c:numRef>
              <c:f>'Tenure Split (Mid and SW Wales)'!$C$96:$G$96</c:f>
              <c:numCache>
                <c:formatCode>_-* #,##0_-;\-* #,##0_-;_-*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9B66-42AB-9F26-C88F23B28AD6}"/>
            </c:ext>
          </c:extLst>
        </c:ser>
        <c:dLbls>
          <c:showLegendKey val="0"/>
          <c:showVal val="0"/>
          <c:showCatName val="0"/>
          <c:showSerName val="0"/>
          <c:showPercent val="0"/>
          <c:showBubbleSize val="0"/>
        </c:dLbls>
        <c:gapWidth val="163"/>
        <c:overlap val="100"/>
        <c:axId val="253739392"/>
        <c:axId val="253740928"/>
      </c:barChart>
      <c:catAx>
        <c:axId val="253739392"/>
        <c:scaling>
          <c:orientation val="minMax"/>
        </c:scaling>
        <c:delete val="0"/>
        <c:axPos val="b"/>
        <c:numFmt formatCode="General" sourceLinked="1"/>
        <c:majorTickMark val="out"/>
        <c:minorTickMark val="none"/>
        <c:tickLblPos val="nextTo"/>
        <c:crossAx val="253740928"/>
        <c:crosses val="autoZero"/>
        <c:auto val="1"/>
        <c:lblAlgn val="ctr"/>
        <c:lblOffset val="100"/>
        <c:noMultiLvlLbl val="0"/>
      </c:catAx>
      <c:valAx>
        <c:axId val="253740928"/>
        <c:scaling>
          <c:orientation val="minMax"/>
          <c:max val="3000"/>
          <c:min val="0"/>
        </c:scaling>
        <c:delete val="0"/>
        <c:axPos val="l"/>
        <c:numFmt formatCode="#,##0" sourceLinked="0"/>
        <c:majorTickMark val="out"/>
        <c:minorTickMark val="none"/>
        <c:tickLblPos val="nextTo"/>
        <c:crossAx val="253739392"/>
        <c:crosses val="autoZero"/>
        <c:crossBetween val="between"/>
        <c:majorUnit val="1000"/>
      </c:valAx>
    </c:plotArea>
    <c:legend>
      <c:legendPos val="b"/>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Regional Map'!A1"/><Relationship Id="rId2" Type="http://schemas.openxmlformats.org/officeDocument/2006/relationships/hyperlink" Target="#'Tips for Using the Tool'!A1"/><Relationship Id="rId1" Type="http://schemas.openxmlformats.org/officeDocument/2006/relationships/image" Target="../media/image1.png"/><Relationship Id="rId4" Type="http://schemas.openxmlformats.org/officeDocument/2006/relationships/hyperlink" Target="#'Variable Guidance'!A1"/></Relationships>
</file>

<file path=xl/drawings/_rels/drawing10.xml.rels><?xml version="1.0" encoding="UTF-8" standalone="yes"?>
<Relationships xmlns="http://schemas.openxmlformats.org/package/2006/relationships"><Relationship Id="rId2" Type="http://schemas.openxmlformats.org/officeDocument/2006/relationships/hyperlink" Target="#'Tenure Split (Wales)'!A1"/><Relationship Id="rId1" Type="http://schemas.openxmlformats.org/officeDocument/2006/relationships/hyperlink" Target="#'Variable Guidance'!A1"/></Relationships>
</file>

<file path=xl/drawings/_rels/drawing11.xml.rels><?xml version="1.0" encoding="UTF-8" standalone="yes"?>
<Relationships xmlns="http://schemas.openxmlformats.org/package/2006/relationships"><Relationship Id="rId3" Type="http://schemas.openxmlformats.org/officeDocument/2006/relationships/hyperlink" Target="#'Tenure Split (North Wales)'!A1"/><Relationship Id="rId2" Type="http://schemas.openxmlformats.org/officeDocument/2006/relationships/hyperlink" Target="#'Tenure Split (Mid and SW Wales)'!A1"/><Relationship Id="rId1" Type="http://schemas.openxmlformats.org/officeDocument/2006/relationships/hyperlink" Target="#'Tenure Split (Wales)'!A1"/><Relationship Id="rId5" Type="http://schemas.openxmlformats.org/officeDocument/2006/relationships/hyperlink" Target="#'Variable Guidance'!A1"/><Relationship Id="rId4" Type="http://schemas.openxmlformats.org/officeDocument/2006/relationships/hyperlink" Target="#'Tenure Split (SE Wales)'!A1"/></Relationships>
</file>

<file path=xl/drawings/_rels/drawing12.xml.rels><?xml version="1.0" encoding="UTF-8" standalone="yes"?>
<Relationships xmlns="http://schemas.openxmlformats.org/package/2006/relationships"><Relationship Id="rId3" Type="http://schemas.openxmlformats.org/officeDocument/2006/relationships/hyperlink" Target="#'Tenure Split (North Wales)'!A1"/><Relationship Id="rId2" Type="http://schemas.openxmlformats.org/officeDocument/2006/relationships/hyperlink" Target="#'Tenure Split (Mid and SW Wales)'!A1"/><Relationship Id="rId1" Type="http://schemas.openxmlformats.org/officeDocument/2006/relationships/hyperlink" Target="#'Tenure Split (Wales)'!A1"/><Relationship Id="rId5" Type="http://schemas.openxmlformats.org/officeDocument/2006/relationships/hyperlink" Target="#'Variable Guidance'!A1"/><Relationship Id="rId4" Type="http://schemas.openxmlformats.org/officeDocument/2006/relationships/hyperlink" Target="#'Tenure Split (SE Wales)'!A1"/></Relationships>
</file>

<file path=xl/drawings/_rels/drawing13.xml.rels><?xml version="1.0" encoding="UTF-8" standalone="yes"?>
<Relationships xmlns="http://schemas.openxmlformats.org/package/2006/relationships"><Relationship Id="rId1" Type="http://schemas.openxmlformats.org/officeDocument/2006/relationships/hyperlink" Target="#'Tenure Split (Wales)'!A1"/></Relationships>
</file>

<file path=xl/drawings/_rels/drawing14.xml.rels><?xml version="1.0" encoding="UTF-8" standalone="yes"?>
<Relationships xmlns="http://schemas.openxmlformats.org/package/2006/relationships"><Relationship Id="rId1" Type="http://schemas.openxmlformats.org/officeDocument/2006/relationships/hyperlink" Target="#'Tenure Split (North Wales)'!A1"/></Relationships>
</file>

<file path=xl/drawings/_rels/drawing15.xml.rels><?xml version="1.0" encoding="UTF-8" standalone="yes"?>
<Relationships xmlns="http://schemas.openxmlformats.org/package/2006/relationships"><Relationship Id="rId1" Type="http://schemas.openxmlformats.org/officeDocument/2006/relationships/hyperlink" Target="#'Tenure Split (Mid and SW Wales)'!A1"/></Relationships>
</file>

<file path=xl/drawings/_rels/drawing16.xml.rels><?xml version="1.0" encoding="UTF-8" standalone="yes"?>
<Relationships xmlns="http://schemas.openxmlformats.org/package/2006/relationships"><Relationship Id="rId1" Type="http://schemas.openxmlformats.org/officeDocument/2006/relationships/hyperlink" Target="#'Tenure Split (SE Wales)'!A1"/></Relationships>
</file>

<file path=xl/drawings/_rels/drawing17.xml.rels><?xml version="1.0" encoding="UTF-8" standalone="yes"?>
<Relationships xmlns="http://schemas.openxmlformats.org/package/2006/relationships"><Relationship Id="rId1" Type="http://schemas.openxmlformats.org/officeDocument/2006/relationships/hyperlink" Target="#'Tenure Split (Wales)'!A1"/></Relationships>
</file>

<file path=xl/drawings/_rels/drawing18.xml.rels><?xml version="1.0" encoding="UTF-8" standalone="yes"?>
<Relationships xmlns="http://schemas.openxmlformats.org/package/2006/relationships"><Relationship Id="rId1" Type="http://schemas.openxmlformats.org/officeDocument/2006/relationships/hyperlink" Target="#'Tenure Split (North Wales)'!A1"/></Relationships>
</file>

<file path=xl/drawings/_rels/drawing19.xml.rels><?xml version="1.0" encoding="UTF-8" standalone="yes"?>
<Relationships xmlns="http://schemas.openxmlformats.org/package/2006/relationships"><Relationship Id="rId1" Type="http://schemas.openxmlformats.org/officeDocument/2006/relationships/hyperlink" Target="#'Tenure Split (Mid and SW Wales)'!A1"/></Relationships>
</file>

<file path=xl/drawings/_rels/drawing2.xml.rels><?xml version="1.0" encoding="UTF-8" standalone="yes"?>
<Relationships xmlns="http://schemas.openxmlformats.org/package/2006/relationships"><Relationship Id="rId3" Type="http://schemas.openxmlformats.org/officeDocument/2006/relationships/hyperlink" Target="#'Tenure Split (Mid and SW Wales)'!A1"/><Relationship Id="rId2" Type="http://schemas.openxmlformats.org/officeDocument/2006/relationships/hyperlink" Target="#'Tenure Split (North Wales)'!A1"/><Relationship Id="rId1" Type="http://schemas.openxmlformats.org/officeDocument/2006/relationships/hyperlink" Target="#'Tenure Split (Wales)'!A1"/><Relationship Id="rId5" Type="http://schemas.openxmlformats.org/officeDocument/2006/relationships/hyperlink" Target="#'Regional Map'!A1"/><Relationship Id="rId4" Type="http://schemas.openxmlformats.org/officeDocument/2006/relationships/hyperlink" Target="#'Tenure Split (SE Wales)'!A1"/></Relationships>
</file>

<file path=xl/drawings/_rels/drawing20.xml.rels><?xml version="1.0" encoding="UTF-8" standalone="yes"?>
<Relationships xmlns="http://schemas.openxmlformats.org/package/2006/relationships"><Relationship Id="rId1" Type="http://schemas.openxmlformats.org/officeDocument/2006/relationships/hyperlink" Target="#'Tenure Split (SE Wales)'!A1"/></Relationships>
</file>

<file path=xl/drawings/_rels/drawing21.xml.rels><?xml version="1.0" encoding="UTF-8" standalone="yes"?>
<Relationships xmlns="http://schemas.openxmlformats.org/package/2006/relationships"><Relationship Id="rId3" Type="http://schemas.openxmlformats.org/officeDocument/2006/relationships/hyperlink" Target="#'Tenure Split (Mid and SW Wales)'!A1"/><Relationship Id="rId2" Type="http://schemas.openxmlformats.org/officeDocument/2006/relationships/hyperlink" Target="#'Tenure Split (North Wales)'!A1"/><Relationship Id="rId1" Type="http://schemas.openxmlformats.org/officeDocument/2006/relationships/image" Target="../media/image2.png"/><Relationship Id="rId6" Type="http://schemas.openxmlformats.org/officeDocument/2006/relationships/hyperlink" Target="#'Variable Guidance'!A1"/><Relationship Id="rId5" Type="http://schemas.openxmlformats.org/officeDocument/2006/relationships/hyperlink" Target="#'Front Page'!A1"/><Relationship Id="rId4" Type="http://schemas.openxmlformats.org/officeDocument/2006/relationships/hyperlink" Target="#'Tenure Split (SE Wales)'!A1"/></Relationships>
</file>

<file path=xl/drawings/_rels/drawing3.xml.rels><?xml version="1.0" encoding="UTF-8" standalone="yes"?>
<Relationships xmlns="http://schemas.openxmlformats.org/package/2006/relationships"><Relationship Id="rId3" Type="http://schemas.openxmlformats.org/officeDocument/2006/relationships/hyperlink" Target="#'Tenure Split (Mid and SW Wales)'!A1"/><Relationship Id="rId2" Type="http://schemas.openxmlformats.org/officeDocument/2006/relationships/hyperlink" Target="#'Tenure Split (North Wales)'!A1"/><Relationship Id="rId1" Type="http://schemas.openxmlformats.org/officeDocument/2006/relationships/hyperlink" Target="#'Tenure Split (Wales)'!A1"/><Relationship Id="rId5" Type="http://schemas.openxmlformats.org/officeDocument/2006/relationships/hyperlink" Target="#'Front Page'!A1"/><Relationship Id="rId4" Type="http://schemas.openxmlformats.org/officeDocument/2006/relationships/hyperlink" Target="#'Tenure Split (SE Wales)'!A1"/></Relationships>
</file>

<file path=xl/drawings/_rels/drawing4.xml.rels><?xml version="1.0" encoding="UTF-8" standalone="yes"?>
<Relationships xmlns="http://schemas.openxmlformats.org/package/2006/relationships"><Relationship Id="rId8" Type="http://schemas.openxmlformats.org/officeDocument/2006/relationships/hyperlink" Target="#'Rental Prices'!A1"/><Relationship Id="rId13" Type="http://schemas.openxmlformats.org/officeDocument/2006/relationships/hyperlink" Target="#'Tips for Using the Tool'!A1"/><Relationship Id="rId3" Type="http://schemas.openxmlformats.org/officeDocument/2006/relationships/hyperlink" Target="#'Future Forecasts'!A1"/><Relationship Id="rId7" Type="http://schemas.openxmlformats.org/officeDocument/2006/relationships/hyperlink" Target="#'House Prices (Wales)'!A1"/><Relationship Id="rId12"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Income (Wales)'!A1"/><Relationship Id="rId11" Type="http://schemas.openxmlformats.org/officeDocument/2006/relationships/chart" Target="../charts/chart3.xml"/><Relationship Id="rId5" Type="http://schemas.openxmlformats.org/officeDocument/2006/relationships/hyperlink" Target="#'Existing Unmet Need'!A1"/><Relationship Id="rId10" Type="http://schemas.openxmlformats.org/officeDocument/2006/relationships/hyperlink" Target="#'Variable Guidance'!A1"/><Relationship Id="rId4" Type="http://schemas.openxmlformats.org/officeDocument/2006/relationships/hyperlink" Target="#'Household Projections'!A1"/><Relationship Id="rId9" Type="http://schemas.openxmlformats.org/officeDocument/2006/relationships/hyperlink" Target="#'Yearly Assumptions'!A1"/></Relationships>
</file>

<file path=xl/drawings/_rels/drawing5.xml.rels><?xml version="1.0" encoding="UTF-8" standalone="yes"?>
<Relationships xmlns="http://schemas.openxmlformats.org/package/2006/relationships"><Relationship Id="rId8" Type="http://schemas.openxmlformats.org/officeDocument/2006/relationships/hyperlink" Target="#'Rental Prices'!A1"/><Relationship Id="rId13" Type="http://schemas.openxmlformats.org/officeDocument/2006/relationships/hyperlink" Target="#'Regional Map'!A1"/><Relationship Id="rId3" Type="http://schemas.openxmlformats.org/officeDocument/2006/relationships/hyperlink" Target="#'Future Forecasts'!A1"/><Relationship Id="rId7" Type="http://schemas.openxmlformats.org/officeDocument/2006/relationships/hyperlink" Target="#'House Prices (North Wales)'!A1"/><Relationship Id="rId12" Type="http://schemas.openxmlformats.org/officeDocument/2006/relationships/chart" Target="../charts/chart8.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hyperlink" Target="#'Income (North Wales)'!A1"/><Relationship Id="rId11" Type="http://schemas.openxmlformats.org/officeDocument/2006/relationships/chart" Target="../charts/chart7.xml"/><Relationship Id="rId5" Type="http://schemas.openxmlformats.org/officeDocument/2006/relationships/hyperlink" Target="#'Existing Unmet Need'!A1"/><Relationship Id="rId10" Type="http://schemas.openxmlformats.org/officeDocument/2006/relationships/hyperlink" Target="#'Variable Guidance'!A1"/><Relationship Id="rId4" Type="http://schemas.openxmlformats.org/officeDocument/2006/relationships/hyperlink" Target="#'Household Projections'!A1"/><Relationship Id="rId9" Type="http://schemas.openxmlformats.org/officeDocument/2006/relationships/hyperlink" Target="#'Yearly Assumptions'!A1"/><Relationship Id="rId14" Type="http://schemas.openxmlformats.org/officeDocument/2006/relationships/hyperlink" Target="#'Tips for Using the Tool'!A1"/></Relationships>
</file>

<file path=xl/drawings/_rels/drawing6.xml.rels><?xml version="1.0" encoding="UTF-8" standalone="yes"?>
<Relationships xmlns="http://schemas.openxmlformats.org/package/2006/relationships"><Relationship Id="rId8" Type="http://schemas.openxmlformats.org/officeDocument/2006/relationships/hyperlink" Target="#'Income (Mid and SW Wales)'!A1"/><Relationship Id="rId13" Type="http://schemas.openxmlformats.org/officeDocument/2006/relationships/hyperlink" Target="#'Regional Map'!A1"/><Relationship Id="rId3" Type="http://schemas.openxmlformats.org/officeDocument/2006/relationships/chart" Target="../charts/chart11.xml"/><Relationship Id="rId7" Type="http://schemas.openxmlformats.org/officeDocument/2006/relationships/hyperlink" Target="#'Existing Unmet Need'!A1"/><Relationship Id="rId12" Type="http://schemas.openxmlformats.org/officeDocument/2006/relationships/hyperlink" Target="#'Variable Guidance'!A1"/><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hyperlink" Target="#'Household Projections'!A1"/><Relationship Id="rId11" Type="http://schemas.openxmlformats.org/officeDocument/2006/relationships/hyperlink" Target="#'Yearly Assumptions'!A1"/><Relationship Id="rId5" Type="http://schemas.openxmlformats.org/officeDocument/2006/relationships/hyperlink" Target="#'Future Forecasts'!A1"/><Relationship Id="rId10" Type="http://schemas.openxmlformats.org/officeDocument/2006/relationships/hyperlink" Target="#'Rental Prices'!A1"/><Relationship Id="rId4" Type="http://schemas.openxmlformats.org/officeDocument/2006/relationships/chart" Target="../charts/chart12.xml"/><Relationship Id="rId9" Type="http://schemas.openxmlformats.org/officeDocument/2006/relationships/hyperlink" Target="#'House Prices (Mid and SW Wales)'!A1"/><Relationship Id="rId14" Type="http://schemas.openxmlformats.org/officeDocument/2006/relationships/hyperlink" Target="#'Tips for Using the Tool'!A1"/></Relationships>
</file>

<file path=xl/drawings/_rels/drawing7.xml.rels><?xml version="1.0" encoding="UTF-8" standalone="yes"?>
<Relationships xmlns="http://schemas.openxmlformats.org/package/2006/relationships"><Relationship Id="rId8" Type="http://schemas.openxmlformats.org/officeDocument/2006/relationships/hyperlink" Target="#'Income (SE Wales)'!A1"/><Relationship Id="rId13" Type="http://schemas.openxmlformats.org/officeDocument/2006/relationships/hyperlink" Target="#'Regional Map'!A1"/><Relationship Id="rId3" Type="http://schemas.openxmlformats.org/officeDocument/2006/relationships/chart" Target="../charts/chart15.xml"/><Relationship Id="rId7" Type="http://schemas.openxmlformats.org/officeDocument/2006/relationships/hyperlink" Target="#'Existing Unmet Need'!A1"/><Relationship Id="rId12" Type="http://schemas.openxmlformats.org/officeDocument/2006/relationships/hyperlink" Target="#'Variable Guidance'!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hyperlink" Target="#'Household Projections'!A1"/><Relationship Id="rId11" Type="http://schemas.openxmlformats.org/officeDocument/2006/relationships/hyperlink" Target="#'Yearly Assumptions'!A1"/><Relationship Id="rId5" Type="http://schemas.openxmlformats.org/officeDocument/2006/relationships/hyperlink" Target="#'Future Forecasts'!A1"/><Relationship Id="rId10" Type="http://schemas.openxmlformats.org/officeDocument/2006/relationships/hyperlink" Target="#'Rental Prices'!A1"/><Relationship Id="rId4" Type="http://schemas.openxmlformats.org/officeDocument/2006/relationships/chart" Target="../charts/chart16.xml"/><Relationship Id="rId9" Type="http://schemas.openxmlformats.org/officeDocument/2006/relationships/hyperlink" Target="#'House Prices (SE Wales)'!A1"/><Relationship Id="rId14" Type="http://schemas.openxmlformats.org/officeDocument/2006/relationships/hyperlink" Target="#'Tips for Using the Tool'!A1"/></Relationships>
</file>

<file path=xl/drawings/_rels/drawing8.xml.rels><?xml version="1.0" encoding="UTF-8" standalone="yes"?>
<Relationships xmlns="http://schemas.openxmlformats.org/package/2006/relationships"><Relationship Id="rId3" Type="http://schemas.openxmlformats.org/officeDocument/2006/relationships/hyperlink" Target="#'Tenure Split (North Wales)'!A1"/><Relationship Id="rId2" Type="http://schemas.openxmlformats.org/officeDocument/2006/relationships/hyperlink" Target="#'Tenure Split (Mid and SW Wales)'!A1"/><Relationship Id="rId1" Type="http://schemas.openxmlformats.org/officeDocument/2006/relationships/hyperlink" Target="#'Tenure Split (Wales)'!A1"/><Relationship Id="rId4" Type="http://schemas.openxmlformats.org/officeDocument/2006/relationships/hyperlink" Target="#'Tenure Split (SE Wales)'!A1"/></Relationships>
</file>

<file path=xl/drawings/_rels/drawing9.xml.rels><?xml version="1.0" encoding="UTF-8" standalone="yes"?>
<Relationships xmlns="http://schemas.openxmlformats.org/package/2006/relationships"><Relationship Id="rId2" Type="http://schemas.openxmlformats.org/officeDocument/2006/relationships/hyperlink" Target="#'Variable Guidance'!A1"/><Relationship Id="rId1" Type="http://schemas.openxmlformats.org/officeDocument/2006/relationships/hyperlink" Target="#'Tenure Split (Wales)'!A1"/></Relationships>
</file>

<file path=xl/drawings/drawing1.xml><?xml version="1.0" encoding="utf-8"?>
<xdr:wsDr xmlns:xdr="http://schemas.openxmlformats.org/drawingml/2006/spreadsheetDrawing" xmlns:a="http://schemas.openxmlformats.org/drawingml/2006/main">
  <xdr:twoCellAnchor editAs="oneCell">
    <xdr:from>
      <xdr:col>11</xdr:col>
      <xdr:colOff>96368</xdr:colOff>
      <xdr:row>0</xdr:row>
      <xdr:rowOff>76200</xdr:rowOff>
    </xdr:from>
    <xdr:to>
      <xdr:col>13</xdr:col>
      <xdr:colOff>9525</xdr:colOff>
      <xdr:row>5</xdr:row>
      <xdr:rowOff>100608</xdr:rowOff>
    </xdr:to>
    <xdr:pic>
      <xdr:nvPicPr>
        <xdr:cNvPr id="2" name="Picture 1"/>
        <xdr:cNvPicPr>
          <a:picLocks noChangeAspect="1"/>
        </xdr:cNvPicPr>
      </xdr:nvPicPr>
      <xdr:blipFill rotWithShape="1">
        <a:blip xmlns:r="http://schemas.openxmlformats.org/officeDocument/2006/relationships" r:embed="rId1"/>
        <a:srcRect l="62462" t="26599" r="12418" b="30822"/>
        <a:stretch/>
      </xdr:blipFill>
      <xdr:spPr>
        <a:xfrm>
          <a:off x="7964018" y="76200"/>
          <a:ext cx="1132357" cy="1081683"/>
        </a:xfrm>
        <a:prstGeom prst="rect">
          <a:avLst/>
        </a:prstGeom>
      </xdr:spPr>
    </xdr:pic>
    <xdr:clientData/>
  </xdr:twoCellAnchor>
  <xdr:twoCellAnchor>
    <xdr:from>
      <xdr:col>13</xdr:col>
      <xdr:colOff>46567</xdr:colOff>
      <xdr:row>17</xdr:row>
      <xdr:rowOff>148167</xdr:rowOff>
    </xdr:from>
    <xdr:to>
      <xdr:col>15</xdr:col>
      <xdr:colOff>414866</xdr:colOff>
      <xdr:row>19</xdr:row>
      <xdr:rowOff>182034</xdr:rowOff>
    </xdr:to>
    <xdr:sp macro="" textlink="">
      <xdr:nvSpPr>
        <xdr:cNvPr id="3" name="Rectangle 2">
          <a:hlinkClick xmlns:r="http://schemas.openxmlformats.org/officeDocument/2006/relationships" r:id="rId2"/>
        </xdr:cNvPr>
        <xdr:cNvSpPr/>
      </xdr:nvSpPr>
      <xdr:spPr>
        <a:xfrm>
          <a:off x="9179984" y="4148667"/>
          <a:ext cx="1595965" cy="52070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a:t>
          </a:r>
          <a:r>
            <a:rPr lang="en-GB" sz="1100" b="1" baseline="0">
              <a:solidFill>
                <a:sysClr val="windowText" lastClr="000000"/>
              </a:solidFill>
            </a:rPr>
            <a:t>Tips for Using the Tool</a:t>
          </a:r>
          <a:endParaRPr lang="en-GB" sz="1100" b="1">
            <a:solidFill>
              <a:sysClr val="windowText" lastClr="000000"/>
            </a:solidFill>
          </a:endParaRPr>
        </a:p>
      </xdr:txBody>
    </xdr:sp>
    <xdr:clientData/>
  </xdr:twoCellAnchor>
  <xdr:twoCellAnchor>
    <xdr:from>
      <xdr:col>13</xdr:col>
      <xdr:colOff>57150</xdr:colOff>
      <xdr:row>19</xdr:row>
      <xdr:rowOff>221192</xdr:rowOff>
    </xdr:from>
    <xdr:to>
      <xdr:col>15</xdr:col>
      <xdr:colOff>425449</xdr:colOff>
      <xdr:row>22</xdr:row>
      <xdr:rowOff>11641</xdr:rowOff>
    </xdr:to>
    <xdr:sp macro="" textlink="">
      <xdr:nvSpPr>
        <xdr:cNvPr id="4" name="Rectangle 3">
          <a:hlinkClick xmlns:r="http://schemas.openxmlformats.org/officeDocument/2006/relationships" r:id="rId3"/>
        </xdr:cNvPr>
        <xdr:cNvSpPr/>
      </xdr:nvSpPr>
      <xdr:spPr>
        <a:xfrm>
          <a:off x="9190567" y="4708525"/>
          <a:ext cx="1595965" cy="520699"/>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the </a:t>
          </a:r>
          <a:r>
            <a:rPr lang="en-GB" sz="1100" b="1" baseline="0">
              <a:solidFill>
                <a:sysClr val="windowText" lastClr="000000"/>
              </a:solidFill>
            </a:rPr>
            <a:t>Regional Map</a:t>
          </a:r>
          <a:endParaRPr lang="en-GB" sz="1100">
            <a:solidFill>
              <a:sysClr val="windowText" lastClr="000000"/>
            </a:solidFill>
          </a:endParaRPr>
        </a:p>
      </xdr:txBody>
    </xdr:sp>
    <xdr:clientData/>
  </xdr:twoCellAnchor>
  <xdr:twoCellAnchor>
    <xdr:from>
      <xdr:col>13</xdr:col>
      <xdr:colOff>40216</xdr:colOff>
      <xdr:row>15</xdr:row>
      <xdr:rowOff>57150</xdr:rowOff>
    </xdr:from>
    <xdr:to>
      <xdr:col>15</xdr:col>
      <xdr:colOff>408515</xdr:colOff>
      <xdr:row>17</xdr:row>
      <xdr:rowOff>91017</xdr:rowOff>
    </xdr:to>
    <xdr:sp macro="" textlink="">
      <xdr:nvSpPr>
        <xdr:cNvPr id="5" name="Rectangle 4">
          <a:hlinkClick xmlns:r="http://schemas.openxmlformats.org/officeDocument/2006/relationships" r:id="rId4"/>
        </xdr:cNvPr>
        <xdr:cNvSpPr/>
      </xdr:nvSpPr>
      <xdr:spPr>
        <a:xfrm>
          <a:off x="9173633" y="3570817"/>
          <a:ext cx="1595965" cy="52070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the </a:t>
          </a:r>
          <a:r>
            <a:rPr lang="en-GB" sz="1100" b="1" baseline="0">
              <a:solidFill>
                <a:sysClr val="windowText" lastClr="000000"/>
              </a:solidFill>
            </a:rPr>
            <a:t>Variable Guidance</a:t>
          </a:r>
          <a:endParaRPr lang="en-GB"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600075</xdr:colOff>
      <xdr:row>5</xdr:row>
      <xdr:rowOff>66675</xdr:rowOff>
    </xdr:from>
    <xdr:to>
      <xdr:col>12</xdr:col>
      <xdr:colOff>367241</xdr:colOff>
      <xdr:row>7</xdr:row>
      <xdr:rowOff>100542</xdr:rowOff>
    </xdr:to>
    <xdr:sp macro="" textlink="">
      <xdr:nvSpPr>
        <xdr:cNvPr id="2" name="Rectangle 1">
          <a:hlinkClick xmlns:r="http://schemas.openxmlformats.org/officeDocument/2006/relationships" r:id="rId1"/>
        </xdr:cNvPr>
        <xdr:cNvSpPr/>
      </xdr:nvSpPr>
      <xdr:spPr>
        <a:xfrm>
          <a:off x="7981950" y="495300"/>
          <a:ext cx="1595966" cy="51964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go to sheet</a:t>
          </a:r>
          <a:r>
            <a:rPr lang="en-GB" sz="1100" b="1">
              <a:solidFill>
                <a:sysClr val="windowText" lastClr="000000"/>
              </a:solidFill>
            </a:rPr>
            <a:t> Variable Guidance</a:t>
          </a:r>
          <a:endParaRPr lang="en-GB" sz="1100">
            <a:solidFill>
              <a:sysClr val="windowText" lastClr="000000"/>
            </a:solidFill>
          </a:endParaRPr>
        </a:p>
      </xdr:txBody>
    </xdr:sp>
    <xdr:clientData/>
  </xdr:twoCellAnchor>
  <xdr:twoCellAnchor>
    <xdr:from>
      <xdr:col>9</xdr:col>
      <xdr:colOff>590550</xdr:colOff>
      <xdr:row>7</xdr:row>
      <xdr:rowOff>171450</xdr:rowOff>
    </xdr:from>
    <xdr:to>
      <xdr:col>12</xdr:col>
      <xdr:colOff>357716</xdr:colOff>
      <xdr:row>10</xdr:row>
      <xdr:rowOff>110067</xdr:rowOff>
    </xdr:to>
    <xdr:sp macro="" textlink="">
      <xdr:nvSpPr>
        <xdr:cNvPr id="3" name="Rectangle 2">
          <a:hlinkClick xmlns:r="http://schemas.openxmlformats.org/officeDocument/2006/relationships" r:id="rId2"/>
        </xdr:cNvPr>
        <xdr:cNvSpPr/>
      </xdr:nvSpPr>
      <xdr:spPr>
        <a:xfrm>
          <a:off x="6696075" y="1609725"/>
          <a:ext cx="1595966" cy="51964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(Wales)</a:t>
          </a:r>
          <a:endParaRPr lang="en-GB" sz="11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390525</xdr:colOff>
      <xdr:row>7</xdr:row>
      <xdr:rowOff>0</xdr:rowOff>
    </xdr:from>
    <xdr:to>
      <xdr:col>8</xdr:col>
      <xdr:colOff>157691</xdr:colOff>
      <xdr:row>9</xdr:row>
      <xdr:rowOff>86783</xdr:rowOff>
    </xdr:to>
    <xdr:sp macro="" textlink="">
      <xdr:nvSpPr>
        <xdr:cNvPr id="4" name="Rectangle 3">
          <a:hlinkClick xmlns:r="http://schemas.openxmlformats.org/officeDocument/2006/relationships" r:id="rId1"/>
        </xdr:cNvPr>
        <xdr:cNvSpPr/>
      </xdr:nvSpPr>
      <xdr:spPr>
        <a:xfrm>
          <a:off x="7715250" y="628650"/>
          <a:ext cx="1595966" cy="6773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a:t>
          </a:r>
        </a:p>
        <a:p>
          <a:pPr algn="ctr"/>
          <a:r>
            <a:rPr lang="en-GB" sz="1100" b="1" baseline="0">
              <a:solidFill>
                <a:sysClr val="windowText" lastClr="000000"/>
              </a:solidFill>
            </a:rPr>
            <a:t>(Wales)</a:t>
          </a:r>
          <a:endParaRPr lang="en-GB" sz="1100">
            <a:solidFill>
              <a:sysClr val="windowText" lastClr="000000"/>
            </a:solidFill>
          </a:endParaRPr>
        </a:p>
      </xdr:txBody>
    </xdr:sp>
    <xdr:clientData/>
  </xdr:twoCellAnchor>
  <xdr:twoCellAnchor>
    <xdr:from>
      <xdr:col>5</xdr:col>
      <xdr:colOff>390526</xdr:colOff>
      <xdr:row>10</xdr:row>
      <xdr:rowOff>33867</xdr:rowOff>
    </xdr:from>
    <xdr:to>
      <xdr:col>8</xdr:col>
      <xdr:colOff>157692</xdr:colOff>
      <xdr:row>13</xdr:row>
      <xdr:rowOff>139700</xdr:rowOff>
    </xdr:to>
    <xdr:sp macro="" textlink="">
      <xdr:nvSpPr>
        <xdr:cNvPr id="5" name="Rectangle 4">
          <a:hlinkClick xmlns:r="http://schemas.openxmlformats.org/officeDocument/2006/relationships" r:id="rId2"/>
        </xdr:cNvPr>
        <xdr:cNvSpPr/>
      </xdr:nvSpPr>
      <xdr:spPr>
        <a:xfrm>
          <a:off x="7715251" y="1443567"/>
          <a:ext cx="1595966" cy="6773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(Mid and South West Wales)</a:t>
          </a:r>
          <a:endParaRPr lang="en-GB" sz="1100">
            <a:solidFill>
              <a:sysClr val="windowText" lastClr="000000"/>
            </a:solidFill>
          </a:endParaRPr>
        </a:p>
      </xdr:txBody>
    </xdr:sp>
    <xdr:clientData/>
  </xdr:twoCellAnchor>
  <xdr:twoCellAnchor>
    <xdr:from>
      <xdr:col>8</xdr:col>
      <xdr:colOff>291040</xdr:colOff>
      <xdr:row>7</xdr:row>
      <xdr:rowOff>4233</xdr:rowOff>
    </xdr:from>
    <xdr:to>
      <xdr:col>11</xdr:col>
      <xdr:colOff>58207</xdr:colOff>
      <xdr:row>9</xdr:row>
      <xdr:rowOff>86784</xdr:rowOff>
    </xdr:to>
    <xdr:sp macro="" textlink="">
      <xdr:nvSpPr>
        <xdr:cNvPr id="6" name="Rectangle 5">
          <a:hlinkClick xmlns:r="http://schemas.openxmlformats.org/officeDocument/2006/relationships" r:id="rId3"/>
        </xdr:cNvPr>
        <xdr:cNvSpPr/>
      </xdr:nvSpPr>
      <xdr:spPr>
        <a:xfrm>
          <a:off x="9444565" y="632883"/>
          <a:ext cx="1595967" cy="67310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a:t>
          </a:r>
        </a:p>
        <a:p>
          <a:pPr algn="ctr"/>
          <a:r>
            <a:rPr lang="en-GB" sz="1100" b="1" baseline="0">
              <a:solidFill>
                <a:sysClr val="windowText" lastClr="000000"/>
              </a:solidFill>
            </a:rPr>
            <a:t>(North Wales)</a:t>
          </a:r>
          <a:endParaRPr lang="en-GB" sz="1100">
            <a:solidFill>
              <a:sysClr val="windowText" lastClr="000000"/>
            </a:solidFill>
          </a:endParaRPr>
        </a:p>
      </xdr:txBody>
    </xdr:sp>
    <xdr:clientData/>
  </xdr:twoCellAnchor>
  <xdr:twoCellAnchor>
    <xdr:from>
      <xdr:col>8</xdr:col>
      <xdr:colOff>274107</xdr:colOff>
      <xdr:row>10</xdr:row>
      <xdr:rowOff>42333</xdr:rowOff>
    </xdr:from>
    <xdr:to>
      <xdr:col>11</xdr:col>
      <xdr:colOff>41274</xdr:colOff>
      <xdr:row>13</xdr:row>
      <xdr:rowOff>139700</xdr:rowOff>
    </xdr:to>
    <xdr:sp macro="" textlink="">
      <xdr:nvSpPr>
        <xdr:cNvPr id="7" name="Rectangle 6">
          <a:hlinkClick xmlns:r="http://schemas.openxmlformats.org/officeDocument/2006/relationships" r:id="rId4"/>
        </xdr:cNvPr>
        <xdr:cNvSpPr/>
      </xdr:nvSpPr>
      <xdr:spPr>
        <a:xfrm>
          <a:off x="9427632" y="1452033"/>
          <a:ext cx="1595967" cy="668867"/>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a:t>
          </a:r>
        </a:p>
        <a:p>
          <a:pPr algn="ctr"/>
          <a:r>
            <a:rPr lang="en-GB" sz="1100" b="1" baseline="0">
              <a:solidFill>
                <a:sysClr val="windowText" lastClr="000000"/>
              </a:solidFill>
            </a:rPr>
            <a:t>(South East Wales)</a:t>
          </a:r>
          <a:endParaRPr lang="en-GB" sz="1100">
            <a:solidFill>
              <a:sysClr val="windowText" lastClr="000000"/>
            </a:solidFill>
          </a:endParaRPr>
        </a:p>
      </xdr:txBody>
    </xdr:sp>
    <xdr:clientData/>
  </xdr:twoCellAnchor>
  <xdr:twoCellAnchor>
    <xdr:from>
      <xdr:col>7</xdr:col>
      <xdr:colOff>85725</xdr:colOff>
      <xdr:row>14</xdr:row>
      <xdr:rowOff>85725</xdr:rowOff>
    </xdr:from>
    <xdr:to>
      <xdr:col>9</xdr:col>
      <xdr:colOff>462491</xdr:colOff>
      <xdr:row>16</xdr:row>
      <xdr:rowOff>372533</xdr:rowOff>
    </xdr:to>
    <xdr:sp macro="" textlink="">
      <xdr:nvSpPr>
        <xdr:cNvPr id="8" name="Rectangle 7">
          <a:hlinkClick xmlns:r="http://schemas.openxmlformats.org/officeDocument/2006/relationships" r:id="rId5"/>
        </xdr:cNvPr>
        <xdr:cNvSpPr/>
      </xdr:nvSpPr>
      <xdr:spPr>
        <a:xfrm>
          <a:off x="8629650" y="3019425"/>
          <a:ext cx="1595966" cy="6773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 sheet </a:t>
          </a:r>
          <a:r>
            <a:rPr lang="en-GB" sz="1100" b="1" baseline="0">
              <a:solidFill>
                <a:sysClr val="windowText" lastClr="000000"/>
              </a:solidFill>
            </a:rPr>
            <a:t>Variable Guidance</a:t>
          </a:r>
          <a:endParaRPr lang="en-GB" sz="11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180975</xdr:colOff>
      <xdr:row>5</xdr:row>
      <xdr:rowOff>133350</xdr:rowOff>
    </xdr:from>
    <xdr:to>
      <xdr:col>9</xdr:col>
      <xdr:colOff>545041</xdr:colOff>
      <xdr:row>9</xdr:row>
      <xdr:rowOff>13315</xdr:rowOff>
    </xdr:to>
    <xdr:sp macro="" textlink="">
      <xdr:nvSpPr>
        <xdr:cNvPr id="3" name="Rectangle 2">
          <a:hlinkClick xmlns:r="http://schemas.openxmlformats.org/officeDocument/2006/relationships" r:id="rId1"/>
        </xdr:cNvPr>
        <xdr:cNvSpPr/>
      </xdr:nvSpPr>
      <xdr:spPr>
        <a:xfrm>
          <a:off x="4629150" y="1085850"/>
          <a:ext cx="1583266" cy="64196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CLICK</a:t>
          </a:r>
          <a:r>
            <a:rPr lang="en-GB" sz="1050" baseline="0">
              <a:solidFill>
                <a:sysClr val="windowText" lastClr="000000"/>
              </a:solidFill>
            </a:rPr>
            <a:t> to return to</a:t>
          </a:r>
          <a:r>
            <a:rPr lang="en-GB" sz="1050" b="1">
              <a:solidFill>
                <a:sysClr val="windowText" lastClr="000000"/>
              </a:solidFill>
            </a:rPr>
            <a:t> Tenure</a:t>
          </a:r>
          <a:r>
            <a:rPr lang="en-GB" sz="1050" b="1" baseline="0">
              <a:solidFill>
                <a:sysClr val="windowText" lastClr="000000"/>
              </a:solidFill>
            </a:rPr>
            <a:t> Split </a:t>
          </a:r>
        </a:p>
        <a:p>
          <a:pPr algn="ctr"/>
          <a:r>
            <a:rPr lang="en-GB" sz="1050" b="1" baseline="0">
              <a:solidFill>
                <a:sysClr val="windowText" lastClr="000000"/>
              </a:solidFill>
            </a:rPr>
            <a:t>(Wales)</a:t>
          </a:r>
          <a:endParaRPr lang="en-GB" sz="1050">
            <a:solidFill>
              <a:sysClr val="windowText" lastClr="000000"/>
            </a:solidFill>
          </a:endParaRPr>
        </a:p>
      </xdr:txBody>
    </xdr:sp>
    <xdr:clientData/>
  </xdr:twoCellAnchor>
  <xdr:twoCellAnchor>
    <xdr:from>
      <xdr:col>7</xdr:col>
      <xdr:colOff>180976</xdr:colOff>
      <xdr:row>9</xdr:row>
      <xdr:rowOff>186267</xdr:rowOff>
    </xdr:from>
    <xdr:to>
      <xdr:col>9</xdr:col>
      <xdr:colOff>545042</xdr:colOff>
      <xdr:row>13</xdr:row>
      <xdr:rowOff>66232</xdr:rowOff>
    </xdr:to>
    <xdr:sp macro="" textlink="">
      <xdr:nvSpPr>
        <xdr:cNvPr id="4" name="Rectangle 3">
          <a:hlinkClick xmlns:r="http://schemas.openxmlformats.org/officeDocument/2006/relationships" r:id="rId2"/>
        </xdr:cNvPr>
        <xdr:cNvSpPr/>
      </xdr:nvSpPr>
      <xdr:spPr>
        <a:xfrm>
          <a:off x="4629151" y="1900767"/>
          <a:ext cx="1583266" cy="64196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CLICK</a:t>
          </a:r>
          <a:r>
            <a:rPr lang="en-GB" sz="1050" baseline="0">
              <a:solidFill>
                <a:sysClr val="windowText" lastClr="000000"/>
              </a:solidFill>
            </a:rPr>
            <a:t> to return to</a:t>
          </a:r>
          <a:r>
            <a:rPr lang="en-GB" sz="1050" b="1">
              <a:solidFill>
                <a:sysClr val="windowText" lastClr="000000"/>
              </a:solidFill>
            </a:rPr>
            <a:t> Tenure</a:t>
          </a:r>
          <a:r>
            <a:rPr lang="en-GB" sz="1050" b="1" baseline="0">
              <a:solidFill>
                <a:sysClr val="windowText" lastClr="000000"/>
              </a:solidFill>
            </a:rPr>
            <a:t> Split (Mid and South West Wales)</a:t>
          </a:r>
          <a:endParaRPr lang="en-GB" sz="1050">
            <a:solidFill>
              <a:sysClr val="windowText" lastClr="000000"/>
            </a:solidFill>
          </a:endParaRPr>
        </a:p>
      </xdr:txBody>
    </xdr:sp>
    <xdr:clientData/>
  </xdr:twoCellAnchor>
  <xdr:twoCellAnchor>
    <xdr:from>
      <xdr:col>10</xdr:col>
      <xdr:colOff>81490</xdr:colOff>
      <xdr:row>5</xdr:row>
      <xdr:rowOff>137583</xdr:rowOff>
    </xdr:from>
    <xdr:to>
      <xdr:col>12</xdr:col>
      <xdr:colOff>445557</xdr:colOff>
      <xdr:row>9</xdr:row>
      <xdr:rowOff>13537</xdr:rowOff>
    </xdr:to>
    <xdr:sp macro="" textlink="">
      <xdr:nvSpPr>
        <xdr:cNvPr id="5" name="Rectangle 4">
          <a:hlinkClick xmlns:r="http://schemas.openxmlformats.org/officeDocument/2006/relationships" r:id="rId3"/>
        </xdr:cNvPr>
        <xdr:cNvSpPr/>
      </xdr:nvSpPr>
      <xdr:spPr>
        <a:xfrm>
          <a:off x="6358465" y="1090083"/>
          <a:ext cx="1583267" cy="63795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CLICK</a:t>
          </a:r>
          <a:r>
            <a:rPr lang="en-GB" sz="1050" baseline="0">
              <a:solidFill>
                <a:sysClr val="windowText" lastClr="000000"/>
              </a:solidFill>
            </a:rPr>
            <a:t> to return to</a:t>
          </a:r>
          <a:r>
            <a:rPr lang="en-GB" sz="1050" b="1">
              <a:solidFill>
                <a:sysClr val="windowText" lastClr="000000"/>
              </a:solidFill>
            </a:rPr>
            <a:t> Tenure</a:t>
          </a:r>
          <a:r>
            <a:rPr lang="en-GB" sz="1050" b="1" baseline="0">
              <a:solidFill>
                <a:sysClr val="windowText" lastClr="000000"/>
              </a:solidFill>
            </a:rPr>
            <a:t> Split </a:t>
          </a:r>
        </a:p>
        <a:p>
          <a:pPr algn="ctr"/>
          <a:r>
            <a:rPr lang="en-GB" sz="1050" b="1" baseline="0">
              <a:solidFill>
                <a:sysClr val="windowText" lastClr="000000"/>
              </a:solidFill>
            </a:rPr>
            <a:t>(North Wales)</a:t>
          </a:r>
          <a:endParaRPr lang="en-GB" sz="1050">
            <a:solidFill>
              <a:sysClr val="windowText" lastClr="000000"/>
            </a:solidFill>
          </a:endParaRPr>
        </a:p>
      </xdr:txBody>
    </xdr:sp>
    <xdr:clientData/>
  </xdr:twoCellAnchor>
  <xdr:twoCellAnchor>
    <xdr:from>
      <xdr:col>10</xdr:col>
      <xdr:colOff>64557</xdr:colOff>
      <xdr:row>10</xdr:row>
      <xdr:rowOff>4233</xdr:rowOff>
    </xdr:from>
    <xdr:to>
      <xdr:col>12</xdr:col>
      <xdr:colOff>428624</xdr:colOff>
      <xdr:row>13</xdr:row>
      <xdr:rowOff>66674</xdr:rowOff>
    </xdr:to>
    <xdr:sp macro="" textlink="">
      <xdr:nvSpPr>
        <xdr:cNvPr id="6" name="Rectangle 5">
          <a:hlinkClick xmlns:r="http://schemas.openxmlformats.org/officeDocument/2006/relationships" r:id="rId4"/>
        </xdr:cNvPr>
        <xdr:cNvSpPr/>
      </xdr:nvSpPr>
      <xdr:spPr>
        <a:xfrm>
          <a:off x="6341532" y="1909233"/>
          <a:ext cx="1583267" cy="63394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050">
              <a:solidFill>
                <a:sysClr val="windowText" lastClr="000000"/>
              </a:solidFill>
            </a:rPr>
            <a:t>CLICK</a:t>
          </a:r>
          <a:r>
            <a:rPr lang="en-GB" sz="1050" baseline="0">
              <a:solidFill>
                <a:sysClr val="windowText" lastClr="000000"/>
              </a:solidFill>
            </a:rPr>
            <a:t> to return to</a:t>
          </a:r>
          <a:r>
            <a:rPr lang="en-GB" sz="1050" b="1">
              <a:solidFill>
                <a:sysClr val="windowText" lastClr="000000"/>
              </a:solidFill>
            </a:rPr>
            <a:t> Tenure</a:t>
          </a:r>
          <a:r>
            <a:rPr lang="en-GB" sz="1050" b="1" baseline="0">
              <a:solidFill>
                <a:sysClr val="windowText" lastClr="000000"/>
              </a:solidFill>
            </a:rPr>
            <a:t> Split </a:t>
          </a:r>
        </a:p>
        <a:p>
          <a:pPr algn="ctr"/>
          <a:r>
            <a:rPr lang="en-GB" sz="1050" b="1" baseline="0">
              <a:solidFill>
                <a:sysClr val="windowText" lastClr="000000"/>
              </a:solidFill>
            </a:rPr>
            <a:t>(South East Wales)</a:t>
          </a:r>
          <a:endParaRPr lang="en-GB" sz="1050">
            <a:solidFill>
              <a:sysClr val="windowText" lastClr="000000"/>
            </a:solidFill>
          </a:endParaRPr>
        </a:p>
      </xdr:txBody>
    </xdr:sp>
    <xdr:clientData/>
  </xdr:twoCellAnchor>
  <xdr:twoCellAnchor>
    <xdr:from>
      <xdr:col>8</xdr:col>
      <xdr:colOff>438150</xdr:colOff>
      <xdr:row>14</xdr:row>
      <xdr:rowOff>9525</xdr:rowOff>
    </xdr:from>
    <xdr:to>
      <xdr:col>11</xdr:col>
      <xdr:colOff>192616</xdr:colOff>
      <xdr:row>17</xdr:row>
      <xdr:rowOff>79990</xdr:rowOff>
    </xdr:to>
    <xdr:sp macro="" textlink="">
      <xdr:nvSpPr>
        <xdr:cNvPr id="7" name="Rectangle 6">
          <a:hlinkClick xmlns:r="http://schemas.openxmlformats.org/officeDocument/2006/relationships" r:id="rId5"/>
        </xdr:cNvPr>
        <xdr:cNvSpPr/>
      </xdr:nvSpPr>
      <xdr:spPr>
        <a:xfrm>
          <a:off x="5495925" y="2676525"/>
          <a:ext cx="1583266" cy="64196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a:solidFill>
                <a:sysClr val="windowText" lastClr="000000"/>
              </a:solidFill>
            </a:rPr>
            <a:t>CLICK</a:t>
          </a:r>
          <a:r>
            <a:rPr lang="en-GB" sz="1050" baseline="0">
              <a:solidFill>
                <a:sysClr val="windowText" lastClr="000000"/>
              </a:solidFill>
            </a:rPr>
            <a:t> to go to sheet </a:t>
          </a:r>
          <a:r>
            <a:rPr lang="en-GB" sz="1050" b="1" baseline="0">
              <a:solidFill>
                <a:sysClr val="windowText" lastClr="000000"/>
              </a:solidFill>
            </a:rPr>
            <a:t>Variable Guidance</a:t>
          </a:r>
          <a:endParaRPr lang="en-GB" sz="1050">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371475</xdr:colOff>
      <xdr:row>0</xdr:row>
      <xdr:rowOff>104775</xdr:rowOff>
    </xdr:from>
    <xdr:to>
      <xdr:col>17</xdr:col>
      <xdr:colOff>138641</xdr:colOff>
      <xdr:row>2</xdr:row>
      <xdr:rowOff>167217</xdr:rowOff>
    </xdr:to>
    <xdr:sp macro="" textlink="">
      <xdr:nvSpPr>
        <xdr:cNvPr id="2" name="Rectangle 1">
          <a:hlinkClick xmlns:r="http://schemas.openxmlformats.org/officeDocument/2006/relationships" r:id="rId1"/>
        </xdr:cNvPr>
        <xdr:cNvSpPr/>
      </xdr:nvSpPr>
      <xdr:spPr>
        <a:xfrm>
          <a:off x="11277600" y="104775"/>
          <a:ext cx="1595966" cy="51964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(Wales)</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95250</xdr:colOff>
      <xdr:row>0</xdr:row>
      <xdr:rowOff>76200</xdr:rowOff>
    </xdr:from>
    <xdr:to>
      <xdr:col>17</xdr:col>
      <xdr:colOff>95250</xdr:colOff>
      <xdr:row>2</xdr:row>
      <xdr:rowOff>138642</xdr:rowOff>
    </xdr:to>
    <xdr:sp macro="" textlink="">
      <xdr:nvSpPr>
        <xdr:cNvPr id="2" name="Rectangle 1">
          <a:hlinkClick xmlns:r="http://schemas.openxmlformats.org/officeDocument/2006/relationships" r:id="rId1"/>
        </xdr:cNvPr>
        <xdr:cNvSpPr/>
      </xdr:nvSpPr>
      <xdr:spPr>
        <a:xfrm>
          <a:off x="11001375" y="76200"/>
          <a:ext cx="1828800" cy="51964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(North Wales)</a:t>
          </a:r>
          <a:endParaRPr lang="en-GB"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266700</xdr:colOff>
      <xdr:row>0</xdr:row>
      <xdr:rowOff>85725</xdr:rowOff>
    </xdr:from>
    <xdr:to>
      <xdr:col>17</xdr:col>
      <xdr:colOff>514350</xdr:colOff>
      <xdr:row>2</xdr:row>
      <xdr:rowOff>104775</xdr:rowOff>
    </xdr:to>
    <xdr:sp macro="" textlink="">
      <xdr:nvSpPr>
        <xdr:cNvPr id="2" name="Rectangle 1">
          <a:hlinkClick xmlns:r="http://schemas.openxmlformats.org/officeDocument/2006/relationships" r:id="rId1"/>
        </xdr:cNvPr>
        <xdr:cNvSpPr/>
      </xdr:nvSpPr>
      <xdr:spPr>
        <a:xfrm>
          <a:off x="11172825" y="85725"/>
          <a:ext cx="2076450" cy="4762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(Mid and South West Wales)</a:t>
          </a:r>
          <a:endParaRPr lang="en-GB" sz="110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247649</xdr:colOff>
      <xdr:row>0</xdr:row>
      <xdr:rowOff>66675</xdr:rowOff>
    </xdr:from>
    <xdr:to>
      <xdr:col>17</xdr:col>
      <xdr:colOff>295275</xdr:colOff>
      <xdr:row>2</xdr:row>
      <xdr:rowOff>57151</xdr:rowOff>
    </xdr:to>
    <xdr:sp macro="" textlink="">
      <xdr:nvSpPr>
        <xdr:cNvPr id="2" name="Rectangle 1">
          <a:hlinkClick xmlns:r="http://schemas.openxmlformats.org/officeDocument/2006/relationships" r:id="rId1"/>
        </xdr:cNvPr>
        <xdr:cNvSpPr/>
      </xdr:nvSpPr>
      <xdr:spPr>
        <a:xfrm>
          <a:off x="11153774" y="66675"/>
          <a:ext cx="1876426" cy="44767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(South East Wales)</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133350</xdr:colOff>
      <xdr:row>0</xdr:row>
      <xdr:rowOff>85725</xdr:rowOff>
    </xdr:from>
    <xdr:to>
      <xdr:col>16</xdr:col>
      <xdr:colOff>510116</xdr:colOff>
      <xdr:row>2</xdr:row>
      <xdr:rowOff>148167</xdr:rowOff>
    </xdr:to>
    <xdr:sp macro="" textlink="">
      <xdr:nvSpPr>
        <xdr:cNvPr id="2" name="Rectangle 1">
          <a:hlinkClick xmlns:r="http://schemas.openxmlformats.org/officeDocument/2006/relationships" r:id="rId1"/>
        </xdr:cNvPr>
        <xdr:cNvSpPr/>
      </xdr:nvSpPr>
      <xdr:spPr>
        <a:xfrm>
          <a:off x="11039475" y="85725"/>
          <a:ext cx="1595966" cy="51964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(Wales)</a:t>
          </a:r>
          <a:endParaRPr lang="en-GB" sz="110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161924</xdr:colOff>
      <xdr:row>0</xdr:row>
      <xdr:rowOff>85725</xdr:rowOff>
    </xdr:from>
    <xdr:to>
      <xdr:col>17</xdr:col>
      <xdr:colOff>161925</xdr:colOff>
      <xdr:row>2</xdr:row>
      <xdr:rowOff>148167</xdr:rowOff>
    </xdr:to>
    <xdr:sp macro="" textlink="">
      <xdr:nvSpPr>
        <xdr:cNvPr id="2" name="Rectangle 1">
          <a:hlinkClick xmlns:r="http://schemas.openxmlformats.org/officeDocument/2006/relationships" r:id="rId1"/>
        </xdr:cNvPr>
        <xdr:cNvSpPr/>
      </xdr:nvSpPr>
      <xdr:spPr>
        <a:xfrm>
          <a:off x="11068049" y="85725"/>
          <a:ext cx="1828801" cy="51964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(North Wales)</a:t>
          </a:r>
          <a:endParaRPr lang="en-GB" sz="110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180974</xdr:colOff>
      <xdr:row>0</xdr:row>
      <xdr:rowOff>76200</xdr:rowOff>
    </xdr:from>
    <xdr:to>
      <xdr:col>17</xdr:col>
      <xdr:colOff>228599</xdr:colOff>
      <xdr:row>2</xdr:row>
      <xdr:rowOff>85725</xdr:rowOff>
    </xdr:to>
    <xdr:sp macro="" textlink="">
      <xdr:nvSpPr>
        <xdr:cNvPr id="2" name="Rectangle 1">
          <a:hlinkClick xmlns:r="http://schemas.openxmlformats.org/officeDocument/2006/relationships" r:id="rId1"/>
        </xdr:cNvPr>
        <xdr:cNvSpPr/>
      </xdr:nvSpPr>
      <xdr:spPr>
        <a:xfrm>
          <a:off x="11696699" y="76200"/>
          <a:ext cx="1876425" cy="46672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(Mid and SW Wales)</a:t>
          </a:r>
          <a:endParaRPr lang="en-GB"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4651561</xdr:colOff>
      <xdr:row>1</xdr:row>
      <xdr:rowOff>64994</xdr:rowOff>
    </xdr:from>
    <xdr:to>
      <xdr:col>4</xdr:col>
      <xdr:colOff>1333499</xdr:colOff>
      <xdr:row>4</xdr:row>
      <xdr:rowOff>100852</xdr:rowOff>
    </xdr:to>
    <xdr:sp macro="" textlink="">
      <xdr:nvSpPr>
        <xdr:cNvPr id="2" name="Rectangle 1">
          <a:hlinkClick xmlns:r="http://schemas.openxmlformats.org/officeDocument/2006/relationships" r:id="rId1"/>
        </xdr:cNvPr>
        <xdr:cNvSpPr/>
      </xdr:nvSpPr>
      <xdr:spPr>
        <a:xfrm>
          <a:off x="9750237" y="356347"/>
          <a:ext cx="1623733" cy="60735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Tenure</a:t>
          </a:r>
          <a:r>
            <a:rPr lang="en-GB" sz="1100" b="1" baseline="0">
              <a:solidFill>
                <a:sysClr val="windowText" lastClr="000000"/>
              </a:solidFill>
            </a:rPr>
            <a:t> Split (Wales)</a:t>
          </a:r>
          <a:endParaRPr lang="en-GB" sz="1100">
            <a:solidFill>
              <a:sysClr val="windowText" lastClr="000000"/>
            </a:solidFill>
          </a:endParaRPr>
        </a:p>
      </xdr:txBody>
    </xdr:sp>
    <xdr:clientData/>
  </xdr:twoCellAnchor>
  <xdr:twoCellAnchor>
    <xdr:from>
      <xdr:col>4</xdr:col>
      <xdr:colOff>1397373</xdr:colOff>
      <xdr:row>1</xdr:row>
      <xdr:rowOff>60513</xdr:rowOff>
    </xdr:from>
    <xdr:to>
      <xdr:col>4</xdr:col>
      <xdr:colOff>3021106</xdr:colOff>
      <xdr:row>4</xdr:row>
      <xdr:rowOff>96371</xdr:rowOff>
    </xdr:to>
    <xdr:sp macro="" textlink="">
      <xdr:nvSpPr>
        <xdr:cNvPr id="4" name="Rectangle 3">
          <a:hlinkClick xmlns:r="http://schemas.openxmlformats.org/officeDocument/2006/relationships" r:id="rId2"/>
        </xdr:cNvPr>
        <xdr:cNvSpPr/>
      </xdr:nvSpPr>
      <xdr:spPr>
        <a:xfrm>
          <a:off x="11437844" y="351866"/>
          <a:ext cx="1623733" cy="60735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Tenure</a:t>
          </a:r>
          <a:r>
            <a:rPr lang="en-GB" sz="1100" b="1" baseline="0">
              <a:solidFill>
                <a:sysClr val="windowText" lastClr="000000"/>
              </a:solidFill>
            </a:rPr>
            <a:t> Split (North Wales)</a:t>
          </a:r>
          <a:endParaRPr lang="en-GB" sz="1100">
            <a:solidFill>
              <a:sysClr val="windowText" lastClr="000000"/>
            </a:solidFill>
          </a:endParaRPr>
        </a:p>
      </xdr:txBody>
    </xdr:sp>
    <xdr:clientData/>
  </xdr:twoCellAnchor>
  <xdr:twoCellAnchor>
    <xdr:from>
      <xdr:col>4</xdr:col>
      <xdr:colOff>3096184</xdr:colOff>
      <xdr:row>1</xdr:row>
      <xdr:rowOff>67234</xdr:rowOff>
    </xdr:from>
    <xdr:to>
      <xdr:col>5</xdr:col>
      <xdr:colOff>562535</xdr:colOff>
      <xdr:row>4</xdr:row>
      <xdr:rowOff>103092</xdr:rowOff>
    </xdr:to>
    <xdr:sp macro="" textlink="">
      <xdr:nvSpPr>
        <xdr:cNvPr id="5" name="Rectangle 4">
          <a:hlinkClick xmlns:r="http://schemas.openxmlformats.org/officeDocument/2006/relationships" r:id="rId3"/>
        </xdr:cNvPr>
        <xdr:cNvSpPr/>
      </xdr:nvSpPr>
      <xdr:spPr>
        <a:xfrm>
          <a:off x="13136655" y="358587"/>
          <a:ext cx="1623733" cy="60735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Tenure</a:t>
          </a:r>
          <a:r>
            <a:rPr lang="en-GB" sz="1100" b="1" baseline="0">
              <a:solidFill>
                <a:sysClr val="windowText" lastClr="000000"/>
              </a:solidFill>
            </a:rPr>
            <a:t> Split (Mid and South West Wales)</a:t>
          </a:r>
          <a:endParaRPr lang="en-GB" sz="1100">
            <a:solidFill>
              <a:sysClr val="windowText" lastClr="000000"/>
            </a:solidFill>
          </a:endParaRPr>
        </a:p>
      </xdr:txBody>
    </xdr:sp>
    <xdr:clientData/>
  </xdr:twoCellAnchor>
  <xdr:twoCellAnchor>
    <xdr:from>
      <xdr:col>5</xdr:col>
      <xdr:colOff>626408</xdr:colOff>
      <xdr:row>1</xdr:row>
      <xdr:rowOff>62753</xdr:rowOff>
    </xdr:from>
    <xdr:to>
      <xdr:col>5</xdr:col>
      <xdr:colOff>2250141</xdr:colOff>
      <xdr:row>4</xdr:row>
      <xdr:rowOff>98611</xdr:rowOff>
    </xdr:to>
    <xdr:sp macro="" textlink="">
      <xdr:nvSpPr>
        <xdr:cNvPr id="6" name="Rectangle 5">
          <a:hlinkClick xmlns:r="http://schemas.openxmlformats.org/officeDocument/2006/relationships" r:id="rId4"/>
        </xdr:cNvPr>
        <xdr:cNvSpPr/>
      </xdr:nvSpPr>
      <xdr:spPr>
        <a:xfrm>
          <a:off x="14824261" y="354106"/>
          <a:ext cx="1623733" cy="60735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Tenure</a:t>
          </a:r>
          <a:r>
            <a:rPr lang="en-GB" sz="1100" b="1" baseline="0">
              <a:solidFill>
                <a:sysClr val="windowText" lastClr="000000"/>
              </a:solidFill>
            </a:rPr>
            <a:t> Split (South East Wales)</a:t>
          </a:r>
          <a:endParaRPr lang="en-GB" sz="1100">
            <a:solidFill>
              <a:sysClr val="windowText" lastClr="000000"/>
            </a:solidFill>
          </a:endParaRPr>
        </a:p>
      </xdr:txBody>
    </xdr:sp>
    <xdr:clientData/>
  </xdr:twoCellAnchor>
  <xdr:twoCellAnchor>
    <xdr:from>
      <xdr:col>5</xdr:col>
      <xdr:colOff>2325220</xdr:colOff>
      <xdr:row>1</xdr:row>
      <xdr:rowOff>69476</xdr:rowOff>
    </xdr:from>
    <xdr:to>
      <xdr:col>6</xdr:col>
      <xdr:colOff>38100</xdr:colOff>
      <xdr:row>4</xdr:row>
      <xdr:rowOff>105334</xdr:rowOff>
    </xdr:to>
    <xdr:sp macro="" textlink="">
      <xdr:nvSpPr>
        <xdr:cNvPr id="7" name="Rectangle 6">
          <a:hlinkClick xmlns:r="http://schemas.openxmlformats.org/officeDocument/2006/relationships" r:id="rId5"/>
        </xdr:cNvPr>
        <xdr:cNvSpPr/>
      </xdr:nvSpPr>
      <xdr:spPr>
        <a:xfrm>
          <a:off x="16523073" y="360829"/>
          <a:ext cx="1623733" cy="60735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Regional Ma</a:t>
          </a:r>
          <a:r>
            <a:rPr lang="en-GB" sz="1100" b="1" baseline="0">
              <a:solidFill>
                <a:sysClr val="windowText" lastClr="000000"/>
              </a:solidFill>
            </a:rPr>
            <a:t>p</a:t>
          </a:r>
          <a:endParaRPr lang="en-GB" sz="1100">
            <a:solidFill>
              <a:sysClr val="windowText" lastClr="0000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123825</xdr:colOff>
      <xdr:row>0</xdr:row>
      <xdr:rowOff>76200</xdr:rowOff>
    </xdr:from>
    <xdr:to>
      <xdr:col>16</xdr:col>
      <xdr:colOff>500591</xdr:colOff>
      <xdr:row>2</xdr:row>
      <xdr:rowOff>66675</xdr:rowOff>
    </xdr:to>
    <xdr:sp macro="" textlink="">
      <xdr:nvSpPr>
        <xdr:cNvPr id="2" name="Rectangle 1">
          <a:hlinkClick xmlns:r="http://schemas.openxmlformats.org/officeDocument/2006/relationships" r:id="rId1"/>
        </xdr:cNvPr>
        <xdr:cNvSpPr/>
      </xdr:nvSpPr>
      <xdr:spPr>
        <a:xfrm>
          <a:off x="11029950" y="76200"/>
          <a:ext cx="1595966" cy="44767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(SE Wales)</a:t>
          </a:r>
          <a:endParaRPr lang="en-GB"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33617</xdr:rowOff>
    </xdr:from>
    <xdr:to>
      <xdr:col>4</xdr:col>
      <xdr:colOff>0</xdr:colOff>
      <xdr:row>4</xdr:row>
      <xdr:rowOff>44823</xdr:rowOff>
    </xdr:to>
    <xdr:pic>
      <xdr:nvPicPr>
        <xdr:cNvPr id="2" name="Picture 6" descr="Map of Wales outlining the boundaries of the three economic regions; North Wales, Mid and South West Wales and South East Wales."/>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49" t="1957" r="57742" b="89605"/>
        <a:stretch/>
      </xdr:blipFill>
      <xdr:spPr bwMode="auto">
        <a:xfrm>
          <a:off x="0" y="33617"/>
          <a:ext cx="2420471" cy="773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56029</xdr:rowOff>
    </xdr:from>
    <xdr:to>
      <xdr:col>10</xdr:col>
      <xdr:colOff>593912</xdr:colOff>
      <xdr:row>46</xdr:row>
      <xdr:rowOff>53243</xdr:rowOff>
    </xdr:to>
    <xdr:pic>
      <xdr:nvPicPr>
        <xdr:cNvPr id="3" name="Picture 6" descr="Map of Wales outlining the boundaries of the three economic regions; North Wales, Mid and South West Wales and South East Wales."/>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423"/>
        <a:stretch/>
      </xdr:blipFill>
      <xdr:spPr bwMode="auto">
        <a:xfrm>
          <a:off x="0" y="818029"/>
          <a:ext cx="6645088" cy="799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347382</xdr:colOff>
      <xdr:row>10</xdr:row>
      <xdr:rowOff>67235</xdr:rowOff>
    </xdr:from>
    <xdr:to>
      <xdr:col>15</xdr:col>
      <xdr:colOff>155762</xdr:colOff>
      <xdr:row>13</xdr:row>
      <xdr:rowOff>103093</xdr:rowOff>
    </xdr:to>
    <xdr:sp macro="" textlink="">
      <xdr:nvSpPr>
        <xdr:cNvPr id="4" name="Rectangle 3">
          <a:hlinkClick xmlns:r="http://schemas.openxmlformats.org/officeDocument/2006/relationships" r:id="rId2"/>
        </xdr:cNvPr>
        <xdr:cNvSpPr/>
      </xdr:nvSpPr>
      <xdr:spPr>
        <a:xfrm>
          <a:off x="7608794" y="2162735"/>
          <a:ext cx="1623733" cy="60735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Tenure</a:t>
          </a:r>
          <a:r>
            <a:rPr lang="en-GB" sz="1100" b="1" baseline="0">
              <a:solidFill>
                <a:sysClr val="windowText" lastClr="000000"/>
              </a:solidFill>
            </a:rPr>
            <a:t> Split (North Wales)</a:t>
          </a:r>
          <a:endParaRPr lang="en-GB" sz="1100">
            <a:solidFill>
              <a:sysClr val="windowText" lastClr="000000"/>
            </a:solidFill>
          </a:endParaRPr>
        </a:p>
      </xdr:txBody>
    </xdr:sp>
    <xdr:clientData/>
  </xdr:twoCellAnchor>
  <xdr:twoCellAnchor>
    <xdr:from>
      <xdr:col>12</xdr:col>
      <xdr:colOff>342899</xdr:colOff>
      <xdr:row>14</xdr:row>
      <xdr:rowOff>17927</xdr:rowOff>
    </xdr:from>
    <xdr:to>
      <xdr:col>15</xdr:col>
      <xdr:colOff>151279</xdr:colOff>
      <xdr:row>17</xdr:row>
      <xdr:rowOff>53785</xdr:rowOff>
    </xdr:to>
    <xdr:sp macro="" textlink="">
      <xdr:nvSpPr>
        <xdr:cNvPr id="5" name="Rectangle 4">
          <a:hlinkClick xmlns:r="http://schemas.openxmlformats.org/officeDocument/2006/relationships" r:id="rId3"/>
        </xdr:cNvPr>
        <xdr:cNvSpPr/>
      </xdr:nvSpPr>
      <xdr:spPr>
        <a:xfrm>
          <a:off x="7604311" y="2875427"/>
          <a:ext cx="1623733" cy="60735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Tenure</a:t>
          </a:r>
          <a:r>
            <a:rPr lang="en-GB" sz="1100" b="1" baseline="0">
              <a:solidFill>
                <a:sysClr val="windowText" lastClr="000000"/>
              </a:solidFill>
            </a:rPr>
            <a:t> Split (Mid and South West Wales)</a:t>
          </a:r>
          <a:endParaRPr lang="en-GB" sz="1100">
            <a:solidFill>
              <a:sysClr val="windowText" lastClr="000000"/>
            </a:solidFill>
          </a:endParaRPr>
        </a:p>
      </xdr:txBody>
    </xdr:sp>
    <xdr:clientData/>
  </xdr:twoCellAnchor>
  <xdr:twoCellAnchor>
    <xdr:from>
      <xdr:col>12</xdr:col>
      <xdr:colOff>338417</xdr:colOff>
      <xdr:row>17</xdr:row>
      <xdr:rowOff>170328</xdr:rowOff>
    </xdr:from>
    <xdr:to>
      <xdr:col>15</xdr:col>
      <xdr:colOff>146797</xdr:colOff>
      <xdr:row>21</xdr:row>
      <xdr:rowOff>15686</xdr:rowOff>
    </xdr:to>
    <xdr:sp macro="" textlink="">
      <xdr:nvSpPr>
        <xdr:cNvPr id="6" name="Rectangle 5">
          <a:hlinkClick xmlns:r="http://schemas.openxmlformats.org/officeDocument/2006/relationships" r:id="rId4"/>
        </xdr:cNvPr>
        <xdr:cNvSpPr/>
      </xdr:nvSpPr>
      <xdr:spPr>
        <a:xfrm>
          <a:off x="7599829" y="3599328"/>
          <a:ext cx="1623733" cy="60735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Tenure</a:t>
          </a:r>
          <a:r>
            <a:rPr lang="en-GB" sz="1100" b="1" baseline="0">
              <a:solidFill>
                <a:sysClr val="windowText" lastClr="000000"/>
              </a:solidFill>
            </a:rPr>
            <a:t> Split (South East Wales)</a:t>
          </a:r>
          <a:endParaRPr lang="en-GB" sz="1100">
            <a:solidFill>
              <a:sysClr val="windowText" lastClr="000000"/>
            </a:solidFill>
          </a:endParaRPr>
        </a:p>
      </xdr:txBody>
    </xdr:sp>
    <xdr:clientData/>
  </xdr:twoCellAnchor>
  <xdr:twoCellAnchor>
    <xdr:from>
      <xdr:col>12</xdr:col>
      <xdr:colOff>345140</xdr:colOff>
      <xdr:row>3</xdr:row>
      <xdr:rowOff>8964</xdr:rowOff>
    </xdr:from>
    <xdr:to>
      <xdr:col>15</xdr:col>
      <xdr:colOff>153520</xdr:colOff>
      <xdr:row>6</xdr:row>
      <xdr:rowOff>44822</xdr:rowOff>
    </xdr:to>
    <xdr:sp macro="" textlink="">
      <xdr:nvSpPr>
        <xdr:cNvPr id="7" name="Rectangle 6">
          <a:hlinkClick xmlns:r="http://schemas.openxmlformats.org/officeDocument/2006/relationships" r:id="rId5"/>
        </xdr:cNvPr>
        <xdr:cNvSpPr/>
      </xdr:nvSpPr>
      <xdr:spPr>
        <a:xfrm>
          <a:off x="7606552" y="770964"/>
          <a:ext cx="1623733" cy="60735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Front</a:t>
          </a:r>
          <a:r>
            <a:rPr lang="en-GB" sz="1100" b="1" baseline="0">
              <a:solidFill>
                <a:sysClr val="windowText" lastClr="000000"/>
              </a:solidFill>
            </a:rPr>
            <a:t> Page</a:t>
          </a:r>
          <a:endParaRPr lang="en-GB" sz="1100">
            <a:solidFill>
              <a:sysClr val="windowText" lastClr="000000"/>
            </a:solidFill>
          </a:endParaRPr>
        </a:p>
      </xdr:txBody>
    </xdr:sp>
    <xdr:clientData/>
  </xdr:twoCellAnchor>
  <xdr:twoCellAnchor>
    <xdr:from>
      <xdr:col>12</xdr:col>
      <xdr:colOff>351863</xdr:colOff>
      <xdr:row>6</xdr:row>
      <xdr:rowOff>138952</xdr:rowOff>
    </xdr:from>
    <xdr:to>
      <xdr:col>15</xdr:col>
      <xdr:colOff>160243</xdr:colOff>
      <xdr:row>9</xdr:row>
      <xdr:rowOff>174810</xdr:rowOff>
    </xdr:to>
    <xdr:sp macro="" textlink="">
      <xdr:nvSpPr>
        <xdr:cNvPr id="8" name="Rectangle 7">
          <a:hlinkClick xmlns:r="http://schemas.openxmlformats.org/officeDocument/2006/relationships" r:id="rId6"/>
        </xdr:cNvPr>
        <xdr:cNvSpPr/>
      </xdr:nvSpPr>
      <xdr:spPr>
        <a:xfrm>
          <a:off x="7613275" y="1472452"/>
          <a:ext cx="1623733" cy="60735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Variable</a:t>
          </a:r>
          <a:r>
            <a:rPr lang="en-GB" sz="1100" b="1" baseline="0">
              <a:solidFill>
                <a:sysClr val="windowText" lastClr="000000"/>
              </a:solidFill>
            </a:rPr>
            <a:t> Guidance</a:t>
          </a:r>
          <a:endParaRPr lang="en-GB"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416983</xdr:colOff>
      <xdr:row>7</xdr:row>
      <xdr:rowOff>307164</xdr:rowOff>
    </xdr:from>
    <xdr:to>
      <xdr:col>16</xdr:col>
      <xdr:colOff>214467</xdr:colOff>
      <xdr:row>9</xdr:row>
      <xdr:rowOff>236132</xdr:rowOff>
    </xdr:to>
    <xdr:sp macro="" textlink="">
      <xdr:nvSpPr>
        <xdr:cNvPr id="2" name="Rectangle 1">
          <a:hlinkClick xmlns:r="http://schemas.openxmlformats.org/officeDocument/2006/relationships" r:id="rId1"/>
        </xdr:cNvPr>
        <xdr:cNvSpPr/>
      </xdr:nvSpPr>
      <xdr:spPr>
        <a:xfrm>
          <a:off x="7994650" y="1640664"/>
          <a:ext cx="1638984" cy="55338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Tenure</a:t>
          </a:r>
          <a:r>
            <a:rPr lang="en-GB" sz="1100" b="1" baseline="0">
              <a:solidFill>
                <a:sysClr val="windowText" lastClr="000000"/>
              </a:solidFill>
            </a:rPr>
            <a:t> Split (Wales)</a:t>
          </a:r>
          <a:endParaRPr lang="en-GB" sz="1100">
            <a:solidFill>
              <a:sysClr val="windowText" lastClr="000000"/>
            </a:solidFill>
          </a:endParaRPr>
        </a:p>
      </xdr:txBody>
    </xdr:sp>
    <xdr:clientData/>
  </xdr:twoCellAnchor>
  <xdr:twoCellAnchor>
    <xdr:from>
      <xdr:col>13</xdr:col>
      <xdr:colOff>418665</xdr:colOff>
      <xdr:row>9</xdr:row>
      <xdr:rowOff>364067</xdr:rowOff>
    </xdr:from>
    <xdr:to>
      <xdr:col>16</xdr:col>
      <xdr:colOff>216149</xdr:colOff>
      <xdr:row>12</xdr:row>
      <xdr:rowOff>77512</xdr:rowOff>
    </xdr:to>
    <xdr:sp macro="" textlink="">
      <xdr:nvSpPr>
        <xdr:cNvPr id="3" name="Rectangle 2">
          <a:hlinkClick xmlns:r="http://schemas.openxmlformats.org/officeDocument/2006/relationships" r:id="rId2"/>
        </xdr:cNvPr>
        <xdr:cNvSpPr/>
      </xdr:nvSpPr>
      <xdr:spPr>
        <a:xfrm>
          <a:off x="7996332" y="2321984"/>
          <a:ext cx="1638984" cy="54952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Tenure</a:t>
          </a:r>
          <a:r>
            <a:rPr lang="en-GB" sz="1100" b="1" baseline="0">
              <a:solidFill>
                <a:sysClr val="windowText" lastClr="000000"/>
              </a:solidFill>
            </a:rPr>
            <a:t> Split (North Wales)</a:t>
          </a:r>
          <a:endParaRPr lang="en-GB" sz="1100">
            <a:solidFill>
              <a:sysClr val="windowText" lastClr="000000"/>
            </a:solidFill>
          </a:endParaRPr>
        </a:p>
      </xdr:txBody>
    </xdr:sp>
    <xdr:clientData/>
  </xdr:twoCellAnchor>
  <xdr:twoCellAnchor>
    <xdr:from>
      <xdr:col>13</xdr:col>
      <xdr:colOff>422026</xdr:colOff>
      <xdr:row>13</xdr:row>
      <xdr:rowOff>16247</xdr:rowOff>
    </xdr:from>
    <xdr:to>
      <xdr:col>16</xdr:col>
      <xdr:colOff>219510</xdr:colOff>
      <xdr:row>13</xdr:row>
      <xdr:rowOff>567702</xdr:rowOff>
    </xdr:to>
    <xdr:sp macro="" textlink="">
      <xdr:nvSpPr>
        <xdr:cNvPr id="4" name="Rectangle 3">
          <a:hlinkClick xmlns:r="http://schemas.openxmlformats.org/officeDocument/2006/relationships" r:id="rId3"/>
        </xdr:cNvPr>
        <xdr:cNvSpPr/>
      </xdr:nvSpPr>
      <xdr:spPr>
        <a:xfrm>
          <a:off x="7999693" y="3000747"/>
          <a:ext cx="1638984" cy="55145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Tenure</a:t>
          </a:r>
          <a:r>
            <a:rPr lang="en-GB" sz="1100" b="1" baseline="0">
              <a:solidFill>
                <a:sysClr val="windowText" lastClr="000000"/>
              </a:solidFill>
            </a:rPr>
            <a:t> Split (Mid and South West Wales)</a:t>
          </a:r>
          <a:endParaRPr lang="en-GB" sz="1100">
            <a:solidFill>
              <a:sysClr val="windowText" lastClr="000000"/>
            </a:solidFill>
          </a:endParaRPr>
        </a:p>
      </xdr:txBody>
    </xdr:sp>
    <xdr:clientData/>
  </xdr:twoCellAnchor>
  <xdr:twoCellAnchor>
    <xdr:from>
      <xdr:col>13</xdr:col>
      <xdr:colOff>414182</xdr:colOff>
      <xdr:row>14</xdr:row>
      <xdr:rowOff>81615</xdr:rowOff>
    </xdr:from>
    <xdr:to>
      <xdr:col>16</xdr:col>
      <xdr:colOff>211666</xdr:colOff>
      <xdr:row>15</xdr:row>
      <xdr:rowOff>52916</xdr:rowOff>
    </xdr:to>
    <xdr:sp macro="" textlink="">
      <xdr:nvSpPr>
        <xdr:cNvPr id="5" name="Rectangle 4">
          <a:hlinkClick xmlns:r="http://schemas.openxmlformats.org/officeDocument/2006/relationships" r:id="rId4"/>
        </xdr:cNvPr>
        <xdr:cNvSpPr/>
      </xdr:nvSpPr>
      <xdr:spPr>
        <a:xfrm>
          <a:off x="7991849" y="3679948"/>
          <a:ext cx="1638984" cy="55338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Tenure</a:t>
          </a:r>
          <a:r>
            <a:rPr lang="en-GB" sz="1100" b="1" baseline="0">
              <a:solidFill>
                <a:sysClr val="windowText" lastClr="000000"/>
              </a:solidFill>
            </a:rPr>
            <a:t> Split (South East Wales)</a:t>
          </a:r>
          <a:endParaRPr lang="en-GB" sz="1100">
            <a:solidFill>
              <a:sysClr val="windowText" lastClr="000000"/>
            </a:solidFill>
          </a:endParaRPr>
        </a:p>
      </xdr:txBody>
    </xdr:sp>
    <xdr:clientData/>
  </xdr:twoCellAnchor>
  <xdr:twoCellAnchor>
    <xdr:from>
      <xdr:col>13</xdr:col>
      <xdr:colOff>410633</xdr:colOff>
      <xdr:row>5</xdr:row>
      <xdr:rowOff>36231</xdr:rowOff>
    </xdr:from>
    <xdr:to>
      <xdr:col>16</xdr:col>
      <xdr:colOff>208117</xdr:colOff>
      <xdr:row>7</xdr:row>
      <xdr:rowOff>208616</xdr:rowOff>
    </xdr:to>
    <xdr:sp macro="" textlink="">
      <xdr:nvSpPr>
        <xdr:cNvPr id="6" name="Rectangle 5">
          <a:hlinkClick xmlns:r="http://schemas.openxmlformats.org/officeDocument/2006/relationships" r:id="rId5"/>
        </xdr:cNvPr>
        <xdr:cNvSpPr/>
      </xdr:nvSpPr>
      <xdr:spPr>
        <a:xfrm>
          <a:off x="7988300" y="988731"/>
          <a:ext cx="1638984" cy="55338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go to</a:t>
          </a:r>
          <a:r>
            <a:rPr lang="en-GB" sz="1100" b="1">
              <a:solidFill>
                <a:sysClr val="windowText" lastClr="000000"/>
              </a:solidFill>
            </a:rPr>
            <a:t> </a:t>
          </a:r>
          <a:r>
            <a:rPr lang="en-GB" sz="1100" b="0">
              <a:solidFill>
                <a:sysClr val="windowText" lastClr="000000"/>
              </a:solidFill>
            </a:rPr>
            <a:t>the</a:t>
          </a:r>
          <a:r>
            <a:rPr lang="en-GB" sz="1100" b="1">
              <a:solidFill>
                <a:sysClr val="windowText" lastClr="000000"/>
              </a:solidFill>
            </a:rPr>
            <a:t> Front</a:t>
          </a:r>
          <a:r>
            <a:rPr lang="en-GB" sz="1100" b="1" baseline="0">
              <a:solidFill>
                <a:sysClr val="windowText" lastClr="000000"/>
              </a:solidFill>
            </a:rPr>
            <a:t> Page</a:t>
          </a:r>
          <a:endParaRPr lang="en-GB"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236764</xdr:colOff>
      <xdr:row>69</xdr:row>
      <xdr:rowOff>151718</xdr:rowOff>
    </xdr:from>
    <xdr:to>
      <xdr:col>5</xdr:col>
      <xdr:colOff>497417</xdr:colOff>
      <xdr:row>87</xdr:row>
      <xdr:rowOff>156482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640781</xdr:colOff>
      <xdr:row>69</xdr:row>
      <xdr:rowOff>145175</xdr:rowOff>
    </xdr:from>
    <xdr:to>
      <xdr:col>10</xdr:col>
      <xdr:colOff>113882</xdr:colOff>
      <xdr:row>87</xdr:row>
      <xdr:rowOff>146298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11</xdr:col>
      <xdr:colOff>825499</xdr:colOff>
      <xdr:row>12</xdr:row>
      <xdr:rowOff>84666</xdr:rowOff>
    </xdr:from>
    <xdr:to>
      <xdr:col>13</xdr:col>
      <xdr:colOff>677333</xdr:colOff>
      <xdr:row>13</xdr:row>
      <xdr:rowOff>275166</xdr:rowOff>
    </xdr:to>
    <xdr:sp macro="" textlink="">
      <xdr:nvSpPr>
        <xdr:cNvPr id="4" name="Rectangle 3">
          <a:hlinkClick xmlns:r="http://schemas.openxmlformats.org/officeDocument/2006/relationships" r:id="rId3"/>
        </xdr:cNvPr>
        <xdr:cNvSpPr/>
      </xdr:nvSpPr>
      <xdr:spPr>
        <a:xfrm>
          <a:off x="12043832" y="3069166"/>
          <a:ext cx="1587501" cy="50800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'Future Forecasts</a:t>
          </a:r>
          <a:r>
            <a:rPr lang="en-GB" sz="1100">
              <a:solidFill>
                <a:sysClr val="windowText" lastClr="000000"/>
              </a:solidFill>
            </a:rPr>
            <a:t>'</a:t>
          </a:r>
        </a:p>
      </xdr:txBody>
    </xdr:sp>
    <xdr:clientData/>
  </xdr:twoCellAnchor>
  <xdr:twoCellAnchor>
    <xdr:from>
      <xdr:col>11</xdr:col>
      <xdr:colOff>825499</xdr:colOff>
      <xdr:row>4</xdr:row>
      <xdr:rowOff>52915</xdr:rowOff>
    </xdr:from>
    <xdr:to>
      <xdr:col>13</xdr:col>
      <xdr:colOff>677333</xdr:colOff>
      <xdr:row>6</xdr:row>
      <xdr:rowOff>52916</xdr:rowOff>
    </xdr:to>
    <xdr:sp macro="" textlink="">
      <xdr:nvSpPr>
        <xdr:cNvPr id="6" name="Rectangle 5">
          <a:hlinkClick xmlns:r="http://schemas.openxmlformats.org/officeDocument/2006/relationships" r:id="rId4"/>
        </xdr:cNvPr>
        <xdr:cNvSpPr/>
      </xdr:nvSpPr>
      <xdr:spPr>
        <a:xfrm>
          <a:off x="12805832" y="1185332"/>
          <a:ext cx="1587501" cy="50800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'Household Projections</a:t>
          </a:r>
          <a:r>
            <a:rPr lang="en-GB" sz="1100">
              <a:solidFill>
                <a:sysClr val="windowText" lastClr="000000"/>
              </a:solidFill>
            </a:rPr>
            <a:t>'</a:t>
          </a:r>
        </a:p>
      </xdr:txBody>
    </xdr:sp>
    <xdr:clientData/>
  </xdr:twoCellAnchor>
  <xdr:twoCellAnchor>
    <xdr:from>
      <xdr:col>10</xdr:col>
      <xdr:colOff>31751</xdr:colOff>
      <xdr:row>6</xdr:row>
      <xdr:rowOff>148169</xdr:rowOff>
    </xdr:from>
    <xdr:to>
      <xdr:col>11</xdr:col>
      <xdr:colOff>751417</xdr:colOff>
      <xdr:row>9</xdr:row>
      <xdr:rowOff>95251</xdr:rowOff>
    </xdr:to>
    <xdr:sp macro="" textlink="">
      <xdr:nvSpPr>
        <xdr:cNvPr id="7" name="Rectangle 6">
          <a:hlinkClick xmlns:r="http://schemas.openxmlformats.org/officeDocument/2006/relationships" r:id="rId5"/>
        </xdr:cNvPr>
        <xdr:cNvSpPr/>
      </xdr:nvSpPr>
      <xdr:spPr>
        <a:xfrm>
          <a:off x="10382251" y="1788586"/>
          <a:ext cx="1587499" cy="51858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Existing</a:t>
          </a:r>
          <a:r>
            <a:rPr lang="en-GB" sz="1100" b="1" baseline="0">
              <a:solidFill>
                <a:sysClr val="windowText" lastClr="000000"/>
              </a:solidFill>
            </a:rPr>
            <a:t> Unmet Need'</a:t>
          </a:r>
          <a:endParaRPr lang="en-GB" sz="1100">
            <a:solidFill>
              <a:sysClr val="windowText" lastClr="000000"/>
            </a:solidFill>
          </a:endParaRPr>
        </a:p>
      </xdr:txBody>
    </xdr:sp>
    <xdr:clientData/>
  </xdr:twoCellAnchor>
  <xdr:twoCellAnchor>
    <xdr:from>
      <xdr:col>11</xdr:col>
      <xdr:colOff>825500</xdr:colOff>
      <xdr:row>6</xdr:row>
      <xdr:rowOff>158751</xdr:rowOff>
    </xdr:from>
    <xdr:to>
      <xdr:col>13</xdr:col>
      <xdr:colOff>677334</xdr:colOff>
      <xdr:row>9</xdr:row>
      <xdr:rowOff>84666</xdr:rowOff>
    </xdr:to>
    <xdr:sp macro="" textlink="">
      <xdr:nvSpPr>
        <xdr:cNvPr id="8" name="Rectangle 7">
          <a:hlinkClick xmlns:r="http://schemas.openxmlformats.org/officeDocument/2006/relationships" r:id="rId6"/>
        </xdr:cNvPr>
        <xdr:cNvSpPr/>
      </xdr:nvSpPr>
      <xdr:spPr>
        <a:xfrm>
          <a:off x="12043833" y="1799168"/>
          <a:ext cx="1587501" cy="49741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'Income (Wales)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10</xdr:col>
      <xdr:colOff>21167</xdr:colOff>
      <xdr:row>9</xdr:row>
      <xdr:rowOff>179917</xdr:rowOff>
    </xdr:from>
    <xdr:to>
      <xdr:col>11</xdr:col>
      <xdr:colOff>740833</xdr:colOff>
      <xdr:row>12</xdr:row>
      <xdr:rowOff>21166</xdr:rowOff>
    </xdr:to>
    <xdr:sp macro="" textlink="">
      <xdr:nvSpPr>
        <xdr:cNvPr id="9" name="Rectangle 8">
          <a:hlinkClick xmlns:r="http://schemas.openxmlformats.org/officeDocument/2006/relationships" r:id="rId7"/>
        </xdr:cNvPr>
        <xdr:cNvSpPr/>
      </xdr:nvSpPr>
      <xdr:spPr>
        <a:xfrm>
          <a:off x="10371667" y="2391834"/>
          <a:ext cx="1587499" cy="51858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'House</a:t>
          </a:r>
          <a:r>
            <a:rPr lang="en-GB" sz="1100" b="1" baseline="0">
              <a:solidFill>
                <a:sysClr val="windowText" lastClr="000000"/>
              </a:solidFill>
            </a:rPr>
            <a:t> Prices</a:t>
          </a:r>
          <a:r>
            <a:rPr lang="en-GB" sz="1100" b="1">
              <a:solidFill>
                <a:sysClr val="windowText" lastClr="000000"/>
              </a:solidFill>
            </a:rPr>
            <a:t> (Wales)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11</xdr:col>
      <xdr:colOff>825500</xdr:colOff>
      <xdr:row>9</xdr:row>
      <xdr:rowOff>179916</xdr:rowOff>
    </xdr:from>
    <xdr:to>
      <xdr:col>13</xdr:col>
      <xdr:colOff>677334</xdr:colOff>
      <xdr:row>11</xdr:row>
      <xdr:rowOff>179916</xdr:rowOff>
    </xdr:to>
    <xdr:sp macro="" textlink="">
      <xdr:nvSpPr>
        <xdr:cNvPr id="10" name="Rectangle 9">
          <a:hlinkClick xmlns:r="http://schemas.openxmlformats.org/officeDocument/2006/relationships" r:id="rId8"/>
        </xdr:cNvPr>
        <xdr:cNvSpPr/>
      </xdr:nvSpPr>
      <xdr:spPr>
        <a:xfrm>
          <a:off x="12043833" y="2391833"/>
          <a:ext cx="1587501" cy="4868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'Rental</a:t>
          </a:r>
          <a:r>
            <a:rPr lang="en-GB" sz="1100" b="1" baseline="0">
              <a:solidFill>
                <a:sysClr val="windowText" lastClr="000000"/>
              </a:solidFill>
            </a:rPr>
            <a:t> Prices'</a:t>
          </a:r>
          <a:endParaRPr lang="en-GB" sz="1100" b="1">
            <a:solidFill>
              <a:sysClr val="windowText" lastClr="000000"/>
            </a:solidFill>
          </a:endParaRPr>
        </a:p>
      </xdr:txBody>
    </xdr:sp>
    <xdr:clientData/>
  </xdr:twoCellAnchor>
  <xdr:twoCellAnchor>
    <xdr:from>
      <xdr:col>10</xdr:col>
      <xdr:colOff>31749</xdr:colOff>
      <xdr:row>12</xdr:row>
      <xdr:rowOff>84667</xdr:rowOff>
    </xdr:from>
    <xdr:to>
      <xdr:col>11</xdr:col>
      <xdr:colOff>751415</xdr:colOff>
      <xdr:row>13</xdr:row>
      <xdr:rowOff>264583</xdr:rowOff>
    </xdr:to>
    <xdr:sp macro="" textlink="">
      <xdr:nvSpPr>
        <xdr:cNvPr id="11" name="Rectangle 10">
          <a:hlinkClick xmlns:r="http://schemas.openxmlformats.org/officeDocument/2006/relationships" r:id="rId9"/>
        </xdr:cNvPr>
        <xdr:cNvSpPr/>
      </xdr:nvSpPr>
      <xdr:spPr>
        <a:xfrm>
          <a:off x="10382249" y="2973917"/>
          <a:ext cx="1587499" cy="49741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Set Yearly Assumptions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10</xdr:col>
      <xdr:colOff>31751</xdr:colOff>
      <xdr:row>4</xdr:row>
      <xdr:rowOff>52917</xdr:rowOff>
    </xdr:from>
    <xdr:to>
      <xdr:col>11</xdr:col>
      <xdr:colOff>751417</xdr:colOff>
      <xdr:row>6</xdr:row>
      <xdr:rowOff>74083</xdr:rowOff>
    </xdr:to>
    <xdr:sp macro="" textlink="">
      <xdr:nvSpPr>
        <xdr:cNvPr id="12" name="Rectangle 11">
          <a:hlinkClick xmlns:r="http://schemas.openxmlformats.org/officeDocument/2006/relationships" r:id="rId10"/>
        </xdr:cNvPr>
        <xdr:cNvSpPr/>
      </xdr:nvSpPr>
      <xdr:spPr>
        <a:xfrm>
          <a:off x="11144251" y="1185334"/>
          <a:ext cx="1587499" cy="52916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the </a:t>
          </a:r>
          <a:r>
            <a:rPr lang="en-GB" sz="1100" b="1" baseline="0">
              <a:solidFill>
                <a:sysClr val="windowText" lastClr="000000"/>
              </a:solidFill>
            </a:rPr>
            <a:t>Variable Guidance</a:t>
          </a:r>
          <a:endParaRPr lang="en-GB" sz="1100">
            <a:solidFill>
              <a:sysClr val="windowText" lastClr="000000"/>
            </a:solidFill>
          </a:endParaRPr>
        </a:p>
      </xdr:txBody>
    </xdr:sp>
    <xdr:clientData/>
  </xdr:twoCellAnchor>
  <xdr:twoCellAnchor>
    <xdr:from>
      <xdr:col>1</xdr:col>
      <xdr:colOff>21167</xdr:colOff>
      <xdr:row>32</xdr:row>
      <xdr:rowOff>116417</xdr:rowOff>
    </xdr:from>
    <xdr:to>
      <xdr:col>5</xdr:col>
      <xdr:colOff>588737</xdr:colOff>
      <xdr:row>50</xdr:row>
      <xdr:rowOff>121181</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5</xdr:col>
      <xdr:colOff>719665</xdr:colOff>
      <xdr:row>32</xdr:row>
      <xdr:rowOff>116416</xdr:rowOff>
    </xdr:from>
    <xdr:to>
      <xdr:col>10</xdr:col>
      <xdr:colOff>192766</xdr:colOff>
      <xdr:row>50</xdr:row>
      <xdr:rowOff>117539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11</xdr:col>
      <xdr:colOff>0</xdr:colOff>
      <xdr:row>14</xdr:row>
      <xdr:rowOff>21166</xdr:rowOff>
    </xdr:from>
    <xdr:to>
      <xdr:col>12</xdr:col>
      <xdr:colOff>728131</xdr:colOff>
      <xdr:row>15</xdr:row>
      <xdr:rowOff>171450</xdr:rowOff>
    </xdr:to>
    <xdr:sp macro="" textlink="">
      <xdr:nvSpPr>
        <xdr:cNvPr id="18" name="Rectangle 17">
          <a:hlinkClick xmlns:r="http://schemas.openxmlformats.org/officeDocument/2006/relationships" r:id="rId13"/>
        </xdr:cNvPr>
        <xdr:cNvSpPr/>
      </xdr:nvSpPr>
      <xdr:spPr>
        <a:xfrm>
          <a:off x="11218333" y="3693583"/>
          <a:ext cx="1595965" cy="52070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a:t>
          </a:r>
          <a:r>
            <a:rPr lang="en-GB" sz="1100" b="1" baseline="0">
              <a:solidFill>
                <a:sysClr val="windowText" lastClr="000000"/>
              </a:solidFill>
            </a:rPr>
            <a:t>Tips for Using the Tool</a:t>
          </a:r>
          <a:endParaRPr lang="en-GB" sz="11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236764</xdr:colOff>
      <xdr:row>69</xdr:row>
      <xdr:rowOff>151718</xdr:rowOff>
    </xdr:from>
    <xdr:to>
      <xdr:col>5</xdr:col>
      <xdr:colOff>497417</xdr:colOff>
      <xdr:row>87</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640781</xdr:colOff>
      <xdr:row>69</xdr:row>
      <xdr:rowOff>145175</xdr:rowOff>
    </xdr:from>
    <xdr:to>
      <xdr:col>10</xdr:col>
      <xdr:colOff>113882</xdr:colOff>
      <xdr:row>87</xdr:row>
      <xdr:rowOff>146298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11</xdr:col>
      <xdr:colOff>836083</xdr:colOff>
      <xdr:row>12</xdr:row>
      <xdr:rowOff>243417</xdr:rowOff>
    </xdr:from>
    <xdr:to>
      <xdr:col>13</xdr:col>
      <xdr:colOff>687917</xdr:colOff>
      <xdr:row>14</xdr:row>
      <xdr:rowOff>42333</xdr:rowOff>
    </xdr:to>
    <xdr:sp macro="" textlink="">
      <xdr:nvSpPr>
        <xdr:cNvPr id="4" name="Rectangle 3">
          <a:hlinkClick xmlns:r="http://schemas.openxmlformats.org/officeDocument/2006/relationships" r:id="rId3"/>
        </xdr:cNvPr>
        <xdr:cNvSpPr/>
      </xdr:nvSpPr>
      <xdr:spPr>
        <a:xfrm>
          <a:off x="12054416" y="3227917"/>
          <a:ext cx="1587501" cy="4868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'Future Forecasts</a:t>
          </a:r>
          <a:r>
            <a:rPr lang="en-GB" sz="1100">
              <a:solidFill>
                <a:sysClr val="windowText" lastClr="000000"/>
              </a:solidFill>
            </a:rPr>
            <a:t>'</a:t>
          </a:r>
        </a:p>
      </xdr:txBody>
    </xdr:sp>
    <xdr:clientData/>
  </xdr:twoCellAnchor>
  <xdr:twoCellAnchor>
    <xdr:from>
      <xdr:col>11</xdr:col>
      <xdr:colOff>836082</xdr:colOff>
      <xdr:row>4</xdr:row>
      <xdr:rowOff>52916</xdr:rowOff>
    </xdr:from>
    <xdr:to>
      <xdr:col>13</xdr:col>
      <xdr:colOff>687916</xdr:colOff>
      <xdr:row>6</xdr:row>
      <xdr:rowOff>74084</xdr:rowOff>
    </xdr:to>
    <xdr:sp macro="" textlink="">
      <xdr:nvSpPr>
        <xdr:cNvPr id="5" name="Rectangle 4">
          <a:hlinkClick xmlns:r="http://schemas.openxmlformats.org/officeDocument/2006/relationships" r:id="rId4"/>
        </xdr:cNvPr>
        <xdr:cNvSpPr/>
      </xdr:nvSpPr>
      <xdr:spPr>
        <a:xfrm>
          <a:off x="12054415" y="1280583"/>
          <a:ext cx="1587501" cy="52916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'Household Projections</a:t>
          </a:r>
          <a:r>
            <a:rPr lang="en-GB" sz="1100">
              <a:solidFill>
                <a:sysClr val="windowText" lastClr="000000"/>
              </a:solidFill>
            </a:rPr>
            <a:t>'</a:t>
          </a:r>
        </a:p>
      </xdr:txBody>
    </xdr:sp>
    <xdr:clientData/>
  </xdr:twoCellAnchor>
  <xdr:twoCellAnchor>
    <xdr:from>
      <xdr:col>10</xdr:col>
      <xdr:colOff>31750</xdr:colOff>
      <xdr:row>6</xdr:row>
      <xdr:rowOff>169335</xdr:rowOff>
    </xdr:from>
    <xdr:to>
      <xdr:col>11</xdr:col>
      <xdr:colOff>751416</xdr:colOff>
      <xdr:row>9</xdr:row>
      <xdr:rowOff>105833</xdr:rowOff>
    </xdr:to>
    <xdr:sp macro="" textlink="">
      <xdr:nvSpPr>
        <xdr:cNvPr id="6" name="Rectangle 5">
          <a:hlinkClick xmlns:r="http://schemas.openxmlformats.org/officeDocument/2006/relationships" r:id="rId5"/>
        </xdr:cNvPr>
        <xdr:cNvSpPr/>
      </xdr:nvSpPr>
      <xdr:spPr>
        <a:xfrm>
          <a:off x="10382250" y="1905002"/>
          <a:ext cx="1587499" cy="50799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Existing</a:t>
          </a:r>
          <a:r>
            <a:rPr lang="en-GB" sz="1100" b="1" baseline="0">
              <a:solidFill>
                <a:sysClr val="windowText" lastClr="000000"/>
              </a:solidFill>
            </a:rPr>
            <a:t> Unmet Need'</a:t>
          </a:r>
          <a:endParaRPr lang="en-GB" sz="1100">
            <a:solidFill>
              <a:sysClr val="windowText" lastClr="000000"/>
            </a:solidFill>
          </a:endParaRPr>
        </a:p>
      </xdr:txBody>
    </xdr:sp>
    <xdr:clientData/>
  </xdr:twoCellAnchor>
  <xdr:twoCellAnchor>
    <xdr:from>
      <xdr:col>11</xdr:col>
      <xdr:colOff>836084</xdr:colOff>
      <xdr:row>6</xdr:row>
      <xdr:rowOff>169335</xdr:rowOff>
    </xdr:from>
    <xdr:to>
      <xdr:col>13</xdr:col>
      <xdr:colOff>687918</xdr:colOff>
      <xdr:row>9</xdr:row>
      <xdr:rowOff>95251</xdr:rowOff>
    </xdr:to>
    <xdr:sp macro="" textlink="">
      <xdr:nvSpPr>
        <xdr:cNvPr id="7" name="Rectangle 6">
          <a:hlinkClick xmlns:r="http://schemas.openxmlformats.org/officeDocument/2006/relationships" r:id="rId6"/>
        </xdr:cNvPr>
        <xdr:cNvSpPr/>
      </xdr:nvSpPr>
      <xdr:spPr>
        <a:xfrm>
          <a:off x="12054417" y="1905002"/>
          <a:ext cx="1587501" cy="49741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'Income (North</a:t>
          </a:r>
          <a:r>
            <a:rPr lang="en-GB" sz="1100" b="1" baseline="0">
              <a:solidFill>
                <a:sysClr val="windowText" lastClr="000000"/>
              </a:solidFill>
            </a:rPr>
            <a:t> </a:t>
          </a:r>
          <a:r>
            <a:rPr lang="en-GB" sz="1100" b="1">
              <a:solidFill>
                <a:sysClr val="windowText" lastClr="000000"/>
              </a:solidFill>
            </a:rPr>
            <a:t>Wales)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10</xdr:col>
      <xdr:colOff>31750</xdr:colOff>
      <xdr:row>9</xdr:row>
      <xdr:rowOff>190500</xdr:rowOff>
    </xdr:from>
    <xdr:to>
      <xdr:col>11</xdr:col>
      <xdr:colOff>751416</xdr:colOff>
      <xdr:row>12</xdr:row>
      <xdr:rowOff>158750</xdr:rowOff>
    </xdr:to>
    <xdr:sp macro="" textlink="">
      <xdr:nvSpPr>
        <xdr:cNvPr id="8" name="Rectangle 7">
          <a:hlinkClick xmlns:r="http://schemas.openxmlformats.org/officeDocument/2006/relationships" r:id="rId7"/>
        </xdr:cNvPr>
        <xdr:cNvSpPr/>
      </xdr:nvSpPr>
      <xdr:spPr>
        <a:xfrm>
          <a:off x="10382250" y="2497667"/>
          <a:ext cx="1587499" cy="64558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'House</a:t>
          </a:r>
          <a:r>
            <a:rPr lang="en-GB" sz="1100" b="1" baseline="0">
              <a:solidFill>
                <a:sysClr val="windowText" lastClr="000000"/>
              </a:solidFill>
            </a:rPr>
            <a:t> Prices</a:t>
          </a:r>
          <a:r>
            <a:rPr lang="en-GB" sz="1100" b="1">
              <a:solidFill>
                <a:sysClr val="windowText" lastClr="000000"/>
              </a:solidFill>
            </a:rPr>
            <a:t> (North</a:t>
          </a:r>
          <a:r>
            <a:rPr lang="en-GB" sz="1100" b="1" baseline="0">
              <a:solidFill>
                <a:sysClr val="windowText" lastClr="000000"/>
              </a:solidFill>
            </a:rPr>
            <a:t> </a:t>
          </a:r>
          <a:r>
            <a:rPr lang="en-GB" sz="1100" b="1">
              <a:solidFill>
                <a:sysClr val="windowText" lastClr="000000"/>
              </a:solidFill>
            </a:rPr>
            <a:t>Wales)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11</xdr:col>
      <xdr:colOff>846667</xdr:colOff>
      <xdr:row>9</xdr:row>
      <xdr:rowOff>190499</xdr:rowOff>
    </xdr:from>
    <xdr:to>
      <xdr:col>13</xdr:col>
      <xdr:colOff>698501</xdr:colOff>
      <xdr:row>12</xdr:row>
      <xdr:rowOff>158750</xdr:rowOff>
    </xdr:to>
    <xdr:sp macro="" textlink="">
      <xdr:nvSpPr>
        <xdr:cNvPr id="9" name="Rectangle 8">
          <a:hlinkClick xmlns:r="http://schemas.openxmlformats.org/officeDocument/2006/relationships" r:id="rId8"/>
        </xdr:cNvPr>
        <xdr:cNvSpPr/>
      </xdr:nvSpPr>
      <xdr:spPr>
        <a:xfrm>
          <a:off x="12065000" y="2497666"/>
          <a:ext cx="1587501" cy="64558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'Rental</a:t>
          </a:r>
          <a:r>
            <a:rPr lang="en-GB" sz="1100" b="1" baseline="0">
              <a:solidFill>
                <a:sysClr val="windowText" lastClr="000000"/>
              </a:solidFill>
            </a:rPr>
            <a:t> Prices'</a:t>
          </a:r>
          <a:endParaRPr lang="en-GB" sz="1100" b="1">
            <a:solidFill>
              <a:sysClr val="windowText" lastClr="000000"/>
            </a:solidFill>
          </a:endParaRPr>
        </a:p>
      </xdr:txBody>
    </xdr:sp>
    <xdr:clientData/>
  </xdr:twoCellAnchor>
  <xdr:twoCellAnchor>
    <xdr:from>
      <xdr:col>10</xdr:col>
      <xdr:colOff>31750</xdr:colOff>
      <xdr:row>12</xdr:row>
      <xdr:rowOff>243417</xdr:rowOff>
    </xdr:from>
    <xdr:to>
      <xdr:col>11</xdr:col>
      <xdr:colOff>751416</xdr:colOff>
      <xdr:row>14</xdr:row>
      <xdr:rowOff>31750</xdr:rowOff>
    </xdr:to>
    <xdr:sp macro="" textlink="">
      <xdr:nvSpPr>
        <xdr:cNvPr id="10" name="Rectangle 9">
          <a:hlinkClick xmlns:r="http://schemas.openxmlformats.org/officeDocument/2006/relationships" r:id="rId9"/>
        </xdr:cNvPr>
        <xdr:cNvSpPr/>
      </xdr:nvSpPr>
      <xdr:spPr>
        <a:xfrm>
          <a:off x="10382250" y="3227917"/>
          <a:ext cx="1587499" cy="4762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Set Yearly Assumptions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10</xdr:col>
      <xdr:colOff>31751</xdr:colOff>
      <xdr:row>4</xdr:row>
      <xdr:rowOff>52917</xdr:rowOff>
    </xdr:from>
    <xdr:to>
      <xdr:col>11</xdr:col>
      <xdr:colOff>751417</xdr:colOff>
      <xdr:row>6</xdr:row>
      <xdr:rowOff>74083</xdr:rowOff>
    </xdr:to>
    <xdr:sp macro="" textlink="">
      <xdr:nvSpPr>
        <xdr:cNvPr id="11" name="Rectangle 10">
          <a:hlinkClick xmlns:r="http://schemas.openxmlformats.org/officeDocument/2006/relationships" r:id="rId10"/>
        </xdr:cNvPr>
        <xdr:cNvSpPr/>
      </xdr:nvSpPr>
      <xdr:spPr>
        <a:xfrm>
          <a:off x="10375901" y="1186392"/>
          <a:ext cx="1586441" cy="52599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the </a:t>
          </a:r>
          <a:r>
            <a:rPr lang="en-GB" sz="1100" b="1" baseline="0">
              <a:solidFill>
                <a:sysClr val="windowText" lastClr="000000"/>
              </a:solidFill>
            </a:rPr>
            <a:t>Variable Guidance</a:t>
          </a:r>
          <a:endParaRPr lang="en-GB" sz="1100">
            <a:solidFill>
              <a:sysClr val="windowText" lastClr="000000"/>
            </a:solidFill>
          </a:endParaRPr>
        </a:p>
      </xdr:txBody>
    </xdr:sp>
    <xdr:clientData/>
  </xdr:twoCellAnchor>
  <xdr:twoCellAnchor>
    <xdr:from>
      <xdr:col>1</xdr:col>
      <xdr:colOff>21167</xdr:colOff>
      <xdr:row>32</xdr:row>
      <xdr:rowOff>116417</xdr:rowOff>
    </xdr:from>
    <xdr:to>
      <xdr:col>5</xdr:col>
      <xdr:colOff>588737</xdr:colOff>
      <xdr:row>50</xdr:row>
      <xdr:rowOff>121181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5</xdr:col>
      <xdr:colOff>719665</xdr:colOff>
      <xdr:row>32</xdr:row>
      <xdr:rowOff>116416</xdr:rowOff>
    </xdr:from>
    <xdr:to>
      <xdr:col>10</xdr:col>
      <xdr:colOff>192766</xdr:colOff>
      <xdr:row>50</xdr:row>
      <xdr:rowOff>117539</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10</xdr:col>
      <xdr:colOff>35983</xdr:colOff>
      <xdr:row>14</xdr:row>
      <xdr:rowOff>152400</xdr:rowOff>
    </xdr:from>
    <xdr:to>
      <xdr:col>11</xdr:col>
      <xdr:colOff>755649</xdr:colOff>
      <xdr:row>16</xdr:row>
      <xdr:rowOff>35984</xdr:rowOff>
    </xdr:to>
    <xdr:sp macro="" textlink="">
      <xdr:nvSpPr>
        <xdr:cNvPr id="15" name="Rectangle 14">
          <a:hlinkClick xmlns:r="http://schemas.openxmlformats.org/officeDocument/2006/relationships" r:id="rId13"/>
        </xdr:cNvPr>
        <xdr:cNvSpPr/>
      </xdr:nvSpPr>
      <xdr:spPr>
        <a:xfrm>
          <a:off x="10386483" y="3824817"/>
          <a:ext cx="1587499" cy="4762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the </a:t>
          </a:r>
          <a:r>
            <a:rPr lang="en-GB" sz="1100" b="1" baseline="0">
              <a:solidFill>
                <a:sysClr val="windowText" lastClr="000000"/>
              </a:solidFill>
            </a:rPr>
            <a:t>Regional Map</a:t>
          </a:r>
          <a:endParaRPr lang="en-GB" sz="1100" b="1">
            <a:solidFill>
              <a:sysClr val="windowText" lastClr="000000"/>
            </a:solidFill>
          </a:endParaRPr>
        </a:p>
      </xdr:txBody>
    </xdr:sp>
    <xdr:clientData/>
  </xdr:twoCellAnchor>
  <xdr:twoCellAnchor>
    <xdr:from>
      <xdr:col>11</xdr:col>
      <xdr:colOff>846668</xdr:colOff>
      <xdr:row>14</xdr:row>
      <xdr:rowOff>137583</xdr:rowOff>
    </xdr:from>
    <xdr:to>
      <xdr:col>13</xdr:col>
      <xdr:colOff>706966</xdr:colOff>
      <xdr:row>16</xdr:row>
      <xdr:rowOff>65617</xdr:rowOff>
    </xdr:to>
    <xdr:sp macro="" textlink="">
      <xdr:nvSpPr>
        <xdr:cNvPr id="16" name="Rectangle 15">
          <a:hlinkClick xmlns:r="http://schemas.openxmlformats.org/officeDocument/2006/relationships" r:id="rId14"/>
        </xdr:cNvPr>
        <xdr:cNvSpPr/>
      </xdr:nvSpPr>
      <xdr:spPr>
        <a:xfrm>
          <a:off x="12065001" y="3810000"/>
          <a:ext cx="1595965" cy="52070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a:t>
          </a:r>
          <a:r>
            <a:rPr lang="en-GB" sz="1100" b="1" baseline="0">
              <a:solidFill>
                <a:sysClr val="windowText" lastClr="000000"/>
              </a:solidFill>
            </a:rPr>
            <a:t>Tips for Using the Tool</a:t>
          </a:r>
          <a:endParaRPr lang="en-GB" sz="11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236764</xdr:colOff>
      <xdr:row>69</xdr:row>
      <xdr:rowOff>151718</xdr:rowOff>
    </xdr:from>
    <xdr:to>
      <xdr:col>5</xdr:col>
      <xdr:colOff>497417</xdr:colOff>
      <xdr:row>87</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693698</xdr:colOff>
      <xdr:row>69</xdr:row>
      <xdr:rowOff>134592</xdr:rowOff>
    </xdr:from>
    <xdr:to>
      <xdr:col>10</xdr:col>
      <xdr:colOff>166799</xdr:colOff>
      <xdr:row>87</xdr:row>
      <xdr:rowOff>135715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21167</xdr:colOff>
      <xdr:row>32</xdr:row>
      <xdr:rowOff>116417</xdr:rowOff>
    </xdr:from>
    <xdr:to>
      <xdr:col>5</xdr:col>
      <xdr:colOff>588737</xdr:colOff>
      <xdr:row>50</xdr:row>
      <xdr:rowOff>121181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5</xdr:col>
      <xdr:colOff>719665</xdr:colOff>
      <xdr:row>32</xdr:row>
      <xdr:rowOff>116416</xdr:rowOff>
    </xdr:from>
    <xdr:to>
      <xdr:col>10</xdr:col>
      <xdr:colOff>192766</xdr:colOff>
      <xdr:row>50</xdr:row>
      <xdr:rowOff>117539</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11</xdr:col>
      <xdr:colOff>846666</xdr:colOff>
      <xdr:row>13</xdr:row>
      <xdr:rowOff>84667</xdr:rowOff>
    </xdr:from>
    <xdr:to>
      <xdr:col>13</xdr:col>
      <xdr:colOff>698500</xdr:colOff>
      <xdr:row>14</xdr:row>
      <xdr:rowOff>201083</xdr:rowOff>
    </xdr:to>
    <xdr:sp macro="" textlink="">
      <xdr:nvSpPr>
        <xdr:cNvPr id="14" name="Rectangle 13">
          <a:hlinkClick xmlns:r="http://schemas.openxmlformats.org/officeDocument/2006/relationships" r:id="rId5"/>
        </xdr:cNvPr>
        <xdr:cNvSpPr/>
      </xdr:nvSpPr>
      <xdr:spPr>
        <a:xfrm>
          <a:off x="12064999" y="3386667"/>
          <a:ext cx="1587501" cy="4868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'Future Forecasts</a:t>
          </a:r>
          <a:r>
            <a:rPr lang="en-GB" sz="1100">
              <a:solidFill>
                <a:sysClr val="windowText" lastClr="000000"/>
              </a:solidFill>
            </a:rPr>
            <a:t>'</a:t>
          </a:r>
        </a:p>
      </xdr:txBody>
    </xdr:sp>
    <xdr:clientData/>
  </xdr:twoCellAnchor>
  <xdr:twoCellAnchor>
    <xdr:from>
      <xdr:col>11</xdr:col>
      <xdr:colOff>846665</xdr:colOff>
      <xdr:row>4</xdr:row>
      <xdr:rowOff>63499</xdr:rowOff>
    </xdr:from>
    <xdr:to>
      <xdr:col>13</xdr:col>
      <xdr:colOff>698499</xdr:colOff>
      <xdr:row>6</xdr:row>
      <xdr:rowOff>84667</xdr:rowOff>
    </xdr:to>
    <xdr:sp macro="" textlink="">
      <xdr:nvSpPr>
        <xdr:cNvPr id="15" name="Rectangle 14">
          <a:hlinkClick xmlns:r="http://schemas.openxmlformats.org/officeDocument/2006/relationships" r:id="rId6"/>
        </xdr:cNvPr>
        <xdr:cNvSpPr/>
      </xdr:nvSpPr>
      <xdr:spPr>
        <a:xfrm>
          <a:off x="12064998" y="1291166"/>
          <a:ext cx="1587501" cy="52916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'Household Projections</a:t>
          </a:r>
          <a:r>
            <a:rPr lang="en-GB" sz="1100">
              <a:solidFill>
                <a:sysClr val="windowText" lastClr="000000"/>
              </a:solidFill>
            </a:rPr>
            <a:t>'</a:t>
          </a:r>
        </a:p>
      </xdr:txBody>
    </xdr:sp>
    <xdr:clientData/>
  </xdr:twoCellAnchor>
  <xdr:twoCellAnchor>
    <xdr:from>
      <xdr:col>10</xdr:col>
      <xdr:colOff>42333</xdr:colOff>
      <xdr:row>6</xdr:row>
      <xdr:rowOff>179917</xdr:rowOff>
    </xdr:from>
    <xdr:to>
      <xdr:col>11</xdr:col>
      <xdr:colOff>761999</xdr:colOff>
      <xdr:row>9</xdr:row>
      <xdr:rowOff>232832</xdr:rowOff>
    </xdr:to>
    <xdr:sp macro="" textlink="">
      <xdr:nvSpPr>
        <xdr:cNvPr id="16" name="Rectangle 15">
          <a:hlinkClick xmlns:r="http://schemas.openxmlformats.org/officeDocument/2006/relationships" r:id="rId7"/>
        </xdr:cNvPr>
        <xdr:cNvSpPr/>
      </xdr:nvSpPr>
      <xdr:spPr>
        <a:xfrm>
          <a:off x="10392833" y="1915584"/>
          <a:ext cx="1587499" cy="62441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Existing</a:t>
          </a:r>
          <a:r>
            <a:rPr lang="en-GB" sz="1100" b="1" baseline="0">
              <a:solidFill>
                <a:sysClr val="windowText" lastClr="000000"/>
              </a:solidFill>
            </a:rPr>
            <a:t> Unmet Need'</a:t>
          </a:r>
          <a:endParaRPr lang="en-GB" sz="1100">
            <a:solidFill>
              <a:sysClr val="windowText" lastClr="000000"/>
            </a:solidFill>
          </a:endParaRPr>
        </a:p>
      </xdr:txBody>
    </xdr:sp>
    <xdr:clientData/>
  </xdr:twoCellAnchor>
  <xdr:twoCellAnchor>
    <xdr:from>
      <xdr:col>11</xdr:col>
      <xdr:colOff>846667</xdr:colOff>
      <xdr:row>6</xdr:row>
      <xdr:rowOff>179917</xdr:rowOff>
    </xdr:from>
    <xdr:to>
      <xdr:col>13</xdr:col>
      <xdr:colOff>698501</xdr:colOff>
      <xdr:row>9</xdr:row>
      <xdr:rowOff>232832</xdr:rowOff>
    </xdr:to>
    <xdr:sp macro="" textlink="">
      <xdr:nvSpPr>
        <xdr:cNvPr id="17" name="Rectangle 16">
          <a:hlinkClick xmlns:r="http://schemas.openxmlformats.org/officeDocument/2006/relationships" r:id="rId8"/>
        </xdr:cNvPr>
        <xdr:cNvSpPr/>
      </xdr:nvSpPr>
      <xdr:spPr>
        <a:xfrm>
          <a:off x="12065000" y="1915584"/>
          <a:ext cx="1587501" cy="62441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'Income (Mid and SW</a:t>
          </a:r>
          <a:r>
            <a:rPr lang="en-GB" sz="1100" b="1" baseline="0">
              <a:solidFill>
                <a:sysClr val="windowText" lastClr="000000"/>
              </a:solidFill>
            </a:rPr>
            <a:t> </a:t>
          </a:r>
          <a:r>
            <a:rPr lang="en-GB" sz="1100" b="1">
              <a:solidFill>
                <a:sysClr val="windowText" lastClr="000000"/>
              </a:solidFill>
            </a:rPr>
            <a:t>Wales)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10</xdr:col>
      <xdr:colOff>42333</xdr:colOff>
      <xdr:row>10</xdr:row>
      <xdr:rowOff>31750</xdr:rowOff>
    </xdr:from>
    <xdr:to>
      <xdr:col>11</xdr:col>
      <xdr:colOff>761999</xdr:colOff>
      <xdr:row>13</xdr:row>
      <xdr:rowOff>0</xdr:rowOff>
    </xdr:to>
    <xdr:sp macro="" textlink="">
      <xdr:nvSpPr>
        <xdr:cNvPr id="18" name="Rectangle 17">
          <a:hlinkClick xmlns:r="http://schemas.openxmlformats.org/officeDocument/2006/relationships" r:id="rId9"/>
        </xdr:cNvPr>
        <xdr:cNvSpPr/>
      </xdr:nvSpPr>
      <xdr:spPr>
        <a:xfrm>
          <a:off x="10392833" y="2656417"/>
          <a:ext cx="1587499" cy="64558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'House</a:t>
          </a:r>
          <a:r>
            <a:rPr lang="en-GB" sz="1100" b="1" baseline="0">
              <a:solidFill>
                <a:sysClr val="windowText" lastClr="000000"/>
              </a:solidFill>
            </a:rPr>
            <a:t> Prices</a:t>
          </a:r>
          <a:r>
            <a:rPr lang="en-GB" sz="1100" b="1">
              <a:solidFill>
                <a:sysClr val="windowText" lastClr="000000"/>
              </a:solidFill>
            </a:rPr>
            <a:t> (Mid</a:t>
          </a:r>
          <a:r>
            <a:rPr lang="en-GB" sz="1100" b="1" baseline="0">
              <a:solidFill>
                <a:sysClr val="windowText" lastClr="000000"/>
              </a:solidFill>
            </a:rPr>
            <a:t> and SW </a:t>
          </a:r>
          <a:r>
            <a:rPr lang="en-GB" sz="1100" b="1">
              <a:solidFill>
                <a:sysClr val="windowText" lastClr="000000"/>
              </a:solidFill>
            </a:rPr>
            <a:t>Wales)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11</xdr:col>
      <xdr:colOff>857250</xdr:colOff>
      <xdr:row>10</xdr:row>
      <xdr:rowOff>31749</xdr:rowOff>
    </xdr:from>
    <xdr:to>
      <xdr:col>13</xdr:col>
      <xdr:colOff>709084</xdr:colOff>
      <xdr:row>13</xdr:row>
      <xdr:rowOff>0</xdr:rowOff>
    </xdr:to>
    <xdr:sp macro="" textlink="">
      <xdr:nvSpPr>
        <xdr:cNvPr id="19" name="Rectangle 18">
          <a:hlinkClick xmlns:r="http://schemas.openxmlformats.org/officeDocument/2006/relationships" r:id="rId10"/>
        </xdr:cNvPr>
        <xdr:cNvSpPr/>
      </xdr:nvSpPr>
      <xdr:spPr>
        <a:xfrm>
          <a:off x="12075583" y="2656416"/>
          <a:ext cx="1587501" cy="64558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'Rental</a:t>
          </a:r>
          <a:r>
            <a:rPr lang="en-GB" sz="1100" b="1" baseline="0">
              <a:solidFill>
                <a:sysClr val="windowText" lastClr="000000"/>
              </a:solidFill>
            </a:rPr>
            <a:t> Prices'</a:t>
          </a:r>
          <a:endParaRPr lang="en-GB" sz="1100" b="1">
            <a:solidFill>
              <a:sysClr val="windowText" lastClr="000000"/>
            </a:solidFill>
          </a:endParaRPr>
        </a:p>
      </xdr:txBody>
    </xdr:sp>
    <xdr:clientData/>
  </xdr:twoCellAnchor>
  <xdr:twoCellAnchor>
    <xdr:from>
      <xdr:col>10</xdr:col>
      <xdr:colOff>42333</xdr:colOff>
      <xdr:row>13</xdr:row>
      <xdr:rowOff>84667</xdr:rowOff>
    </xdr:from>
    <xdr:to>
      <xdr:col>11</xdr:col>
      <xdr:colOff>761999</xdr:colOff>
      <xdr:row>14</xdr:row>
      <xdr:rowOff>190500</xdr:rowOff>
    </xdr:to>
    <xdr:sp macro="" textlink="">
      <xdr:nvSpPr>
        <xdr:cNvPr id="20" name="Rectangle 19">
          <a:hlinkClick xmlns:r="http://schemas.openxmlformats.org/officeDocument/2006/relationships" r:id="rId11"/>
        </xdr:cNvPr>
        <xdr:cNvSpPr/>
      </xdr:nvSpPr>
      <xdr:spPr>
        <a:xfrm>
          <a:off x="10392833" y="3386667"/>
          <a:ext cx="1587499" cy="4762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Set Yearly Assumptions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10</xdr:col>
      <xdr:colOff>42334</xdr:colOff>
      <xdr:row>4</xdr:row>
      <xdr:rowOff>63500</xdr:rowOff>
    </xdr:from>
    <xdr:to>
      <xdr:col>11</xdr:col>
      <xdr:colOff>762000</xdr:colOff>
      <xdr:row>6</xdr:row>
      <xdr:rowOff>84666</xdr:rowOff>
    </xdr:to>
    <xdr:sp macro="" textlink="">
      <xdr:nvSpPr>
        <xdr:cNvPr id="21" name="Rectangle 20">
          <a:hlinkClick xmlns:r="http://schemas.openxmlformats.org/officeDocument/2006/relationships" r:id="rId12"/>
        </xdr:cNvPr>
        <xdr:cNvSpPr/>
      </xdr:nvSpPr>
      <xdr:spPr>
        <a:xfrm>
          <a:off x="10392834" y="1291167"/>
          <a:ext cx="1587499" cy="52916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the </a:t>
          </a:r>
          <a:r>
            <a:rPr lang="en-GB" sz="1100" b="1" baseline="0">
              <a:solidFill>
                <a:sysClr val="windowText" lastClr="000000"/>
              </a:solidFill>
            </a:rPr>
            <a:t>Variable Guidance</a:t>
          </a:r>
          <a:endParaRPr lang="en-GB" sz="1100">
            <a:solidFill>
              <a:sysClr val="windowText" lastClr="000000"/>
            </a:solidFill>
          </a:endParaRPr>
        </a:p>
      </xdr:txBody>
    </xdr:sp>
    <xdr:clientData/>
  </xdr:twoCellAnchor>
  <xdr:twoCellAnchor>
    <xdr:from>
      <xdr:col>10</xdr:col>
      <xdr:colOff>42332</xdr:colOff>
      <xdr:row>14</xdr:row>
      <xdr:rowOff>317500</xdr:rowOff>
    </xdr:from>
    <xdr:to>
      <xdr:col>11</xdr:col>
      <xdr:colOff>761998</xdr:colOff>
      <xdr:row>16</xdr:row>
      <xdr:rowOff>201084</xdr:rowOff>
    </xdr:to>
    <xdr:sp macro="" textlink="">
      <xdr:nvSpPr>
        <xdr:cNvPr id="23" name="Rectangle 22">
          <a:hlinkClick xmlns:r="http://schemas.openxmlformats.org/officeDocument/2006/relationships" r:id="rId13"/>
        </xdr:cNvPr>
        <xdr:cNvSpPr/>
      </xdr:nvSpPr>
      <xdr:spPr>
        <a:xfrm>
          <a:off x="10392832" y="3989917"/>
          <a:ext cx="1587499" cy="4762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the </a:t>
          </a:r>
          <a:r>
            <a:rPr lang="en-GB" sz="1100" b="1" baseline="0">
              <a:solidFill>
                <a:sysClr val="windowText" lastClr="000000"/>
              </a:solidFill>
            </a:rPr>
            <a:t>Regional Map</a:t>
          </a:r>
          <a:endParaRPr lang="en-GB" sz="1100" b="1">
            <a:solidFill>
              <a:sysClr val="windowText" lastClr="000000"/>
            </a:solidFill>
          </a:endParaRPr>
        </a:p>
      </xdr:txBody>
    </xdr:sp>
    <xdr:clientData/>
  </xdr:twoCellAnchor>
  <xdr:twoCellAnchor>
    <xdr:from>
      <xdr:col>11</xdr:col>
      <xdr:colOff>836084</xdr:colOff>
      <xdr:row>14</xdr:row>
      <xdr:rowOff>306916</xdr:rowOff>
    </xdr:from>
    <xdr:to>
      <xdr:col>13</xdr:col>
      <xdr:colOff>696382</xdr:colOff>
      <xdr:row>16</xdr:row>
      <xdr:rowOff>234950</xdr:rowOff>
    </xdr:to>
    <xdr:sp macro="" textlink="">
      <xdr:nvSpPr>
        <xdr:cNvPr id="22" name="Rectangle 21">
          <a:hlinkClick xmlns:r="http://schemas.openxmlformats.org/officeDocument/2006/relationships" r:id="rId14"/>
        </xdr:cNvPr>
        <xdr:cNvSpPr/>
      </xdr:nvSpPr>
      <xdr:spPr>
        <a:xfrm>
          <a:off x="12054417" y="3979333"/>
          <a:ext cx="1595965" cy="52070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a:t>
          </a:r>
          <a:r>
            <a:rPr lang="en-GB" sz="1100" b="1" baseline="0">
              <a:solidFill>
                <a:sysClr val="windowText" lastClr="000000"/>
              </a:solidFill>
            </a:rPr>
            <a:t>Tips for Using the Tool</a:t>
          </a:r>
          <a:endParaRPr lang="en-GB"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236764</xdr:colOff>
      <xdr:row>69</xdr:row>
      <xdr:rowOff>151718</xdr:rowOff>
    </xdr:from>
    <xdr:to>
      <xdr:col>5</xdr:col>
      <xdr:colOff>497417</xdr:colOff>
      <xdr:row>87</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693698</xdr:colOff>
      <xdr:row>69</xdr:row>
      <xdr:rowOff>134592</xdr:rowOff>
    </xdr:from>
    <xdr:to>
      <xdr:col>10</xdr:col>
      <xdr:colOff>166799</xdr:colOff>
      <xdr:row>87</xdr:row>
      <xdr:rowOff>135715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21167</xdr:colOff>
      <xdr:row>32</xdr:row>
      <xdr:rowOff>116417</xdr:rowOff>
    </xdr:from>
    <xdr:to>
      <xdr:col>5</xdr:col>
      <xdr:colOff>588737</xdr:colOff>
      <xdr:row>50</xdr:row>
      <xdr:rowOff>121181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5</xdr:col>
      <xdr:colOff>719665</xdr:colOff>
      <xdr:row>32</xdr:row>
      <xdr:rowOff>116416</xdr:rowOff>
    </xdr:from>
    <xdr:to>
      <xdr:col>10</xdr:col>
      <xdr:colOff>192766</xdr:colOff>
      <xdr:row>50</xdr:row>
      <xdr:rowOff>117539</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11</xdr:col>
      <xdr:colOff>804333</xdr:colOff>
      <xdr:row>13</xdr:row>
      <xdr:rowOff>84668</xdr:rowOff>
    </xdr:from>
    <xdr:to>
      <xdr:col>13</xdr:col>
      <xdr:colOff>656167</xdr:colOff>
      <xdr:row>14</xdr:row>
      <xdr:rowOff>201084</xdr:rowOff>
    </xdr:to>
    <xdr:sp macro="" textlink="">
      <xdr:nvSpPr>
        <xdr:cNvPr id="22" name="Rectangle 21">
          <a:hlinkClick xmlns:r="http://schemas.openxmlformats.org/officeDocument/2006/relationships" r:id="rId5"/>
        </xdr:cNvPr>
        <xdr:cNvSpPr/>
      </xdr:nvSpPr>
      <xdr:spPr>
        <a:xfrm>
          <a:off x="12022666" y="3386668"/>
          <a:ext cx="1587501" cy="4868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'Future Forecasts</a:t>
          </a:r>
          <a:r>
            <a:rPr lang="en-GB" sz="1100">
              <a:solidFill>
                <a:sysClr val="windowText" lastClr="000000"/>
              </a:solidFill>
            </a:rPr>
            <a:t>'</a:t>
          </a:r>
        </a:p>
      </xdr:txBody>
    </xdr:sp>
    <xdr:clientData/>
  </xdr:twoCellAnchor>
  <xdr:twoCellAnchor>
    <xdr:from>
      <xdr:col>11</xdr:col>
      <xdr:colOff>804332</xdr:colOff>
      <xdr:row>4</xdr:row>
      <xdr:rowOff>63500</xdr:rowOff>
    </xdr:from>
    <xdr:to>
      <xdr:col>13</xdr:col>
      <xdr:colOff>656166</xdr:colOff>
      <xdr:row>6</xdr:row>
      <xdr:rowOff>84668</xdr:rowOff>
    </xdr:to>
    <xdr:sp macro="" textlink="">
      <xdr:nvSpPr>
        <xdr:cNvPr id="23" name="Rectangle 22">
          <a:hlinkClick xmlns:r="http://schemas.openxmlformats.org/officeDocument/2006/relationships" r:id="rId6"/>
        </xdr:cNvPr>
        <xdr:cNvSpPr/>
      </xdr:nvSpPr>
      <xdr:spPr>
        <a:xfrm>
          <a:off x="12022665" y="1291167"/>
          <a:ext cx="1587501" cy="52916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'Household Projections</a:t>
          </a:r>
          <a:r>
            <a:rPr lang="en-GB" sz="1100">
              <a:solidFill>
                <a:sysClr val="windowText" lastClr="000000"/>
              </a:solidFill>
            </a:rPr>
            <a:t>'</a:t>
          </a:r>
        </a:p>
      </xdr:txBody>
    </xdr:sp>
    <xdr:clientData/>
  </xdr:twoCellAnchor>
  <xdr:twoCellAnchor>
    <xdr:from>
      <xdr:col>10</xdr:col>
      <xdr:colOff>0</xdr:colOff>
      <xdr:row>6</xdr:row>
      <xdr:rowOff>179918</xdr:rowOff>
    </xdr:from>
    <xdr:to>
      <xdr:col>11</xdr:col>
      <xdr:colOff>719666</xdr:colOff>
      <xdr:row>9</xdr:row>
      <xdr:rowOff>232833</xdr:rowOff>
    </xdr:to>
    <xdr:sp macro="" textlink="">
      <xdr:nvSpPr>
        <xdr:cNvPr id="24" name="Rectangle 23">
          <a:hlinkClick xmlns:r="http://schemas.openxmlformats.org/officeDocument/2006/relationships" r:id="rId7"/>
        </xdr:cNvPr>
        <xdr:cNvSpPr/>
      </xdr:nvSpPr>
      <xdr:spPr>
        <a:xfrm>
          <a:off x="10350500" y="1915585"/>
          <a:ext cx="1587499" cy="62441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Existing</a:t>
          </a:r>
          <a:r>
            <a:rPr lang="en-GB" sz="1100" b="1" baseline="0">
              <a:solidFill>
                <a:sysClr val="windowText" lastClr="000000"/>
              </a:solidFill>
            </a:rPr>
            <a:t> Unmet Need'</a:t>
          </a:r>
          <a:endParaRPr lang="en-GB" sz="1100">
            <a:solidFill>
              <a:sysClr val="windowText" lastClr="000000"/>
            </a:solidFill>
          </a:endParaRPr>
        </a:p>
      </xdr:txBody>
    </xdr:sp>
    <xdr:clientData/>
  </xdr:twoCellAnchor>
  <xdr:twoCellAnchor>
    <xdr:from>
      <xdr:col>11</xdr:col>
      <xdr:colOff>804334</xdr:colOff>
      <xdr:row>6</xdr:row>
      <xdr:rowOff>179918</xdr:rowOff>
    </xdr:from>
    <xdr:to>
      <xdr:col>13</xdr:col>
      <xdr:colOff>656168</xdr:colOff>
      <xdr:row>9</xdr:row>
      <xdr:rowOff>232833</xdr:rowOff>
    </xdr:to>
    <xdr:sp macro="" textlink="">
      <xdr:nvSpPr>
        <xdr:cNvPr id="25" name="Rectangle 24">
          <a:hlinkClick xmlns:r="http://schemas.openxmlformats.org/officeDocument/2006/relationships" r:id="rId8"/>
        </xdr:cNvPr>
        <xdr:cNvSpPr/>
      </xdr:nvSpPr>
      <xdr:spPr>
        <a:xfrm>
          <a:off x="12022667" y="1915585"/>
          <a:ext cx="1587501" cy="624415"/>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'Income (South East</a:t>
          </a:r>
          <a:r>
            <a:rPr lang="en-GB" sz="1100" b="1" baseline="0">
              <a:solidFill>
                <a:sysClr val="windowText" lastClr="000000"/>
              </a:solidFill>
            </a:rPr>
            <a:t> </a:t>
          </a:r>
          <a:r>
            <a:rPr lang="en-GB" sz="1100" b="1">
              <a:solidFill>
                <a:sysClr val="windowText" lastClr="000000"/>
              </a:solidFill>
            </a:rPr>
            <a:t>Wales)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10</xdr:col>
      <xdr:colOff>0</xdr:colOff>
      <xdr:row>10</xdr:row>
      <xdr:rowOff>31751</xdr:rowOff>
    </xdr:from>
    <xdr:to>
      <xdr:col>11</xdr:col>
      <xdr:colOff>719666</xdr:colOff>
      <xdr:row>13</xdr:row>
      <xdr:rowOff>1</xdr:rowOff>
    </xdr:to>
    <xdr:sp macro="" textlink="">
      <xdr:nvSpPr>
        <xdr:cNvPr id="26" name="Rectangle 25">
          <a:hlinkClick xmlns:r="http://schemas.openxmlformats.org/officeDocument/2006/relationships" r:id="rId9"/>
        </xdr:cNvPr>
        <xdr:cNvSpPr/>
      </xdr:nvSpPr>
      <xdr:spPr>
        <a:xfrm>
          <a:off x="10350500" y="2656418"/>
          <a:ext cx="1587499" cy="64558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'House</a:t>
          </a:r>
          <a:r>
            <a:rPr lang="en-GB" sz="1100" b="1" baseline="0">
              <a:solidFill>
                <a:sysClr val="windowText" lastClr="000000"/>
              </a:solidFill>
            </a:rPr>
            <a:t> Prices</a:t>
          </a:r>
          <a:r>
            <a:rPr lang="en-GB" sz="1100" b="1">
              <a:solidFill>
                <a:sysClr val="windowText" lastClr="000000"/>
              </a:solidFill>
            </a:rPr>
            <a:t> (</a:t>
          </a:r>
          <a:r>
            <a:rPr lang="en-GB" sz="1100" b="1" baseline="0">
              <a:solidFill>
                <a:sysClr val="windowText" lastClr="000000"/>
              </a:solidFill>
            </a:rPr>
            <a:t>South East </a:t>
          </a:r>
          <a:r>
            <a:rPr lang="en-GB" sz="1100" b="1">
              <a:solidFill>
                <a:sysClr val="windowText" lastClr="000000"/>
              </a:solidFill>
            </a:rPr>
            <a:t>Wales)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11</xdr:col>
      <xdr:colOff>814917</xdr:colOff>
      <xdr:row>10</xdr:row>
      <xdr:rowOff>31750</xdr:rowOff>
    </xdr:from>
    <xdr:to>
      <xdr:col>13</xdr:col>
      <xdr:colOff>666751</xdr:colOff>
      <xdr:row>13</xdr:row>
      <xdr:rowOff>1</xdr:rowOff>
    </xdr:to>
    <xdr:sp macro="" textlink="">
      <xdr:nvSpPr>
        <xdr:cNvPr id="27" name="Rectangle 26">
          <a:hlinkClick xmlns:r="http://schemas.openxmlformats.org/officeDocument/2006/relationships" r:id="rId10"/>
        </xdr:cNvPr>
        <xdr:cNvSpPr/>
      </xdr:nvSpPr>
      <xdr:spPr>
        <a:xfrm>
          <a:off x="12033250" y="2656417"/>
          <a:ext cx="1587501" cy="645584"/>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'Rental</a:t>
          </a:r>
          <a:r>
            <a:rPr lang="en-GB" sz="1100" b="1" baseline="0">
              <a:solidFill>
                <a:sysClr val="windowText" lastClr="000000"/>
              </a:solidFill>
            </a:rPr>
            <a:t> Prices'</a:t>
          </a:r>
          <a:endParaRPr lang="en-GB" sz="1100" b="1">
            <a:solidFill>
              <a:sysClr val="windowText" lastClr="000000"/>
            </a:solidFill>
          </a:endParaRPr>
        </a:p>
      </xdr:txBody>
    </xdr:sp>
    <xdr:clientData/>
  </xdr:twoCellAnchor>
  <xdr:twoCellAnchor>
    <xdr:from>
      <xdr:col>10</xdr:col>
      <xdr:colOff>0</xdr:colOff>
      <xdr:row>13</xdr:row>
      <xdr:rowOff>84668</xdr:rowOff>
    </xdr:from>
    <xdr:to>
      <xdr:col>11</xdr:col>
      <xdr:colOff>719666</xdr:colOff>
      <xdr:row>14</xdr:row>
      <xdr:rowOff>190501</xdr:rowOff>
    </xdr:to>
    <xdr:sp macro="" textlink="">
      <xdr:nvSpPr>
        <xdr:cNvPr id="28" name="Rectangle 27">
          <a:hlinkClick xmlns:r="http://schemas.openxmlformats.org/officeDocument/2006/relationships" r:id="rId11"/>
        </xdr:cNvPr>
        <xdr:cNvSpPr/>
      </xdr:nvSpPr>
      <xdr:spPr>
        <a:xfrm>
          <a:off x="10350500" y="3386668"/>
          <a:ext cx="1587499" cy="4762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a:t>
          </a:r>
          <a:r>
            <a:rPr lang="en-GB" sz="1100">
              <a:solidFill>
                <a:sysClr val="windowText" lastClr="000000"/>
              </a:solidFill>
            </a:rPr>
            <a:t>o to sheet '</a:t>
          </a:r>
          <a:r>
            <a:rPr lang="en-GB" sz="1100" b="1">
              <a:solidFill>
                <a:sysClr val="windowText" lastClr="000000"/>
              </a:solidFill>
            </a:rPr>
            <a:t>Set Yearly Assumptions</a:t>
          </a:r>
          <a:r>
            <a:rPr lang="en-GB" sz="1100" b="1" baseline="0">
              <a:solidFill>
                <a:sysClr val="windowText" lastClr="000000"/>
              </a:solidFill>
            </a:rPr>
            <a:t>'</a:t>
          </a:r>
          <a:endParaRPr lang="en-GB" sz="1100" b="1">
            <a:solidFill>
              <a:sysClr val="windowText" lastClr="000000"/>
            </a:solidFill>
          </a:endParaRPr>
        </a:p>
      </xdr:txBody>
    </xdr:sp>
    <xdr:clientData/>
  </xdr:twoCellAnchor>
  <xdr:twoCellAnchor>
    <xdr:from>
      <xdr:col>10</xdr:col>
      <xdr:colOff>1</xdr:colOff>
      <xdr:row>4</xdr:row>
      <xdr:rowOff>63501</xdr:rowOff>
    </xdr:from>
    <xdr:to>
      <xdr:col>11</xdr:col>
      <xdr:colOff>719667</xdr:colOff>
      <xdr:row>6</xdr:row>
      <xdr:rowOff>84667</xdr:rowOff>
    </xdr:to>
    <xdr:sp macro="" textlink="">
      <xdr:nvSpPr>
        <xdr:cNvPr id="29" name="Rectangle 28">
          <a:hlinkClick xmlns:r="http://schemas.openxmlformats.org/officeDocument/2006/relationships" r:id="rId12"/>
        </xdr:cNvPr>
        <xdr:cNvSpPr/>
      </xdr:nvSpPr>
      <xdr:spPr>
        <a:xfrm>
          <a:off x="10350501" y="1291168"/>
          <a:ext cx="1587499" cy="52916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the </a:t>
          </a:r>
          <a:r>
            <a:rPr lang="en-GB" sz="1100" b="1" baseline="0">
              <a:solidFill>
                <a:sysClr val="windowText" lastClr="000000"/>
              </a:solidFill>
            </a:rPr>
            <a:t>Variable Guidance</a:t>
          </a:r>
          <a:endParaRPr lang="en-GB" sz="1100">
            <a:solidFill>
              <a:sysClr val="windowText" lastClr="000000"/>
            </a:solidFill>
          </a:endParaRPr>
        </a:p>
      </xdr:txBody>
    </xdr:sp>
    <xdr:clientData/>
  </xdr:twoCellAnchor>
  <xdr:twoCellAnchor>
    <xdr:from>
      <xdr:col>9</xdr:col>
      <xdr:colOff>846667</xdr:colOff>
      <xdr:row>14</xdr:row>
      <xdr:rowOff>359832</xdr:rowOff>
    </xdr:from>
    <xdr:to>
      <xdr:col>11</xdr:col>
      <xdr:colOff>698500</xdr:colOff>
      <xdr:row>16</xdr:row>
      <xdr:rowOff>243416</xdr:rowOff>
    </xdr:to>
    <xdr:sp macro="" textlink="">
      <xdr:nvSpPr>
        <xdr:cNvPr id="15" name="Rectangle 14">
          <a:hlinkClick xmlns:r="http://schemas.openxmlformats.org/officeDocument/2006/relationships" r:id="rId13"/>
        </xdr:cNvPr>
        <xdr:cNvSpPr/>
      </xdr:nvSpPr>
      <xdr:spPr>
        <a:xfrm>
          <a:off x="10329334" y="4032249"/>
          <a:ext cx="1587499" cy="47625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the </a:t>
          </a:r>
          <a:r>
            <a:rPr lang="en-GB" sz="1100" b="1" baseline="0">
              <a:solidFill>
                <a:sysClr val="windowText" lastClr="000000"/>
              </a:solidFill>
            </a:rPr>
            <a:t>Regional Map </a:t>
          </a:r>
          <a:endParaRPr lang="en-GB" sz="1100" b="1">
            <a:solidFill>
              <a:sysClr val="windowText" lastClr="000000"/>
            </a:solidFill>
          </a:endParaRPr>
        </a:p>
      </xdr:txBody>
    </xdr:sp>
    <xdr:clientData/>
  </xdr:twoCellAnchor>
  <xdr:twoCellAnchor>
    <xdr:from>
      <xdr:col>11</xdr:col>
      <xdr:colOff>836084</xdr:colOff>
      <xdr:row>14</xdr:row>
      <xdr:rowOff>338667</xdr:rowOff>
    </xdr:from>
    <xdr:to>
      <xdr:col>13</xdr:col>
      <xdr:colOff>696382</xdr:colOff>
      <xdr:row>16</xdr:row>
      <xdr:rowOff>266701</xdr:rowOff>
    </xdr:to>
    <xdr:sp macro="" textlink="">
      <xdr:nvSpPr>
        <xdr:cNvPr id="16" name="Rectangle 15">
          <a:hlinkClick xmlns:r="http://schemas.openxmlformats.org/officeDocument/2006/relationships" r:id="rId14"/>
        </xdr:cNvPr>
        <xdr:cNvSpPr/>
      </xdr:nvSpPr>
      <xdr:spPr>
        <a:xfrm>
          <a:off x="12054417" y="4011084"/>
          <a:ext cx="1595965" cy="520700"/>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view </a:t>
          </a:r>
          <a:r>
            <a:rPr lang="en-GB" sz="1100" b="1" baseline="0">
              <a:solidFill>
                <a:sysClr val="windowText" lastClr="000000"/>
              </a:solidFill>
            </a:rPr>
            <a:t>Tips for Using the Tool</a:t>
          </a:r>
          <a:endParaRPr lang="en-GB" sz="11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1</xdr:row>
      <xdr:rowOff>190499</xdr:rowOff>
    </xdr:from>
    <xdr:to>
      <xdr:col>13</xdr:col>
      <xdr:colOff>368300</xdr:colOff>
      <xdr:row>5</xdr:row>
      <xdr:rowOff>105832</xdr:rowOff>
    </xdr:to>
    <xdr:sp macro="" textlink="">
      <xdr:nvSpPr>
        <xdr:cNvPr id="2" name="Rectangle 1">
          <a:hlinkClick xmlns:r="http://schemas.openxmlformats.org/officeDocument/2006/relationships" r:id="rId1"/>
        </xdr:cNvPr>
        <xdr:cNvSpPr/>
      </xdr:nvSpPr>
      <xdr:spPr>
        <a:xfrm>
          <a:off x="10731500" y="380999"/>
          <a:ext cx="1595967" cy="6773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a:t>
          </a:r>
        </a:p>
        <a:p>
          <a:pPr algn="ctr"/>
          <a:r>
            <a:rPr lang="en-GB" sz="1100" b="1" baseline="0">
              <a:solidFill>
                <a:sysClr val="windowText" lastClr="000000"/>
              </a:solidFill>
            </a:rPr>
            <a:t>(Wales)</a:t>
          </a:r>
          <a:endParaRPr lang="en-GB" sz="1100">
            <a:solidFill>
              <a:sysClr val="windowText" lastClr="000000"/>
            </a:solidFill>
          </a:endParaRPr>
        </a:p>
      </xdr:txBody>
    </xdr:sp>
    <xdr:clientData/>
  </xdr:twoCellAnchor>
  <xdr:twoCellAnchor>
    <xdr:from>
      <xdr:col>11</xdr:col>
      <xdr:colOff>1</xdr:colOff>
      <xdr:row>6</xdr:row>
      <xdr:rowOff>52916</xdr:rowOff>
    </xdr:from>
    <xdr:to>
      <xdr:col>13</xdr:col>
      <xdr:colOff>368301</xdr:colOff>
      <xdr:row>9</xdr:row>
      <xdr:rowOff>158749</xdr:rowOff>
    </xdr:to>
    <xdr:sp macro="" textlink="">
      <xdr:nvSpPr>
        <xdr:cNvPr id="3" name="Rectangle 2">
          <a:hlinkClick xmlns:r="http://schemas.openxmlformats.org/officeDocument/2006/relationships" r:id="rId2"/>
        </xdr:cNvPr>
        <xdr:cNvSpPr/>
      </xdr:nvSpPr>
      <xdr:spPr>
        <a:xfrm>
          <a:off x="10731501" y="1195916"/>
          <a:ext cx="1595967" cy="677333"/>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(Mid and South West Wales)</a:t>
          </a:r>
          <a:endParaRPr lang="en-GB" sz="1100">
            <a:solidFill>
              <a:sysClr val="windowText" lastClr="000000"/>
            </a:solidFill>
          </a:endParaRPr>
        </a:p>
      </xdr:txBody>
    </xdr:sp>
    <xdr:clientData/>
  </xdr:twoCellAnchor>
  <xdr:twoCellAnchor>
    <xdr:from>
      <xdr:col>13</xdr:col>
      <xdr:colOff>501649</xdr:colOff>
      <xdr:row>2</xdr:row>
      <xdr:rowOff>4232</xdr:rowOff>
    </xdr:from>
    <xdr:to>
      <xdr:col>16</xdr:col>
      <xdr:colOff>256116</xdr:colOff>
      <xdr:row>5</xdr:row>
      <xdr:rowOff>105833</xdr:rowOff>
    </xdr:to>
    <xdr:sp macro="" textlink="">
      <xdr:nvSpPr>
        <xdr:cNvPr id="4" name="Rectangle 3">
          <a:hlinkClick xmlns:r="http://schemas.openxmlformats.org/officeDocument/2006/relationships" r:id="rId3"/>
        </xdr:cNvPr>
        <xdr:cNvSpPr/>
      </xdr:nvSpPr>
      <xdr:spPr>
        <a:xfrm>
          <a:off x="12460816" y="385232"/>
          <a:ext cx="1595967" cy="673101"/>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a:t>
          </a:r>
        </a:p>
        <a:p>
          <a:pPr algn="ctr"/>
          <a:r>
            <a:rPr lang="en-GB" sz="1100" b="1" baseline="0">
              <a:solidFill>
                <a:sysClr val="windowText" lastClr="000000"/>
              </a:solidFill>
            </a:rPr>
            <a:t>(North Wales)</a:t>
          </a:r>
          <a:endParaRPr lang="en-GB" sz="1100">
            <a:solidFill>
              <a:sysClr val="windowText" lastClr="000000"/>
            </a:solidFill>
          </a:endParaRPr>
        </a:p>
      </xdr:txBody>
    </xdr:sp>
    <xdr:clientData/>
  </xdr:twoCellAnchor>
  <xdr:twoCellAnchor>
    <xdr:from>
      <xdr:col>13</xdr:col>
      <xdr:colOff>484716</xdr:colOff>
      <xdr:row>6</xdr:row>
      <xdr:rowOff>61382</xdr:rowOff>
    </xdr:from>
    <xdr:to>
      <xdr:col>16</xdr:col>
      <xdr:colOff>239183</xdr:colOff>
      <xdr:row>9</xdr:row>
      <xdr:rowOff>158749</xdr:rowOff>
    </xdr:to>
    <xdr:sp macro="" textlink="">
      <xdr:nvSpPr>
        <xdr:cNvPr id="5" name="Rectangle 4">
          <a:hlinkClick xmlns:r="http://schemas.openxmlformats.org/officeDocument/2006/relationships" r:id="rId4"/>
        </xdr:cNvPr>
        <xdr:cNvSpPr/>
      </xdr:nvSpPr>
      <xdr:spPr>
        <a:xfrm>
          <a:off x="12443883" y="1204382"/>
          <a:ext cx="1595967" cy="668867"/>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a:t>
          </a:r>
        </a:p>
        <a:p>
          <a:pPr algn="ctr"/>
          <a:r>
            <a:rPr lang="en-GB" sz="1100" b="1" baseline="0">
              <a:solidFill>
                <a:sysClr val="windowText" lastClr="000000"/>
              </a:solidFill>
            </a:rPr>
            <a:t>(South East Wales)</a:t>
          </a:r>
          <a:endParaRPr lang="en-GB"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209550</xdr:colOff>
      <xdr:row>9</xdr:row>
      <xdr:rowOff>9525</xdr:rowOff>
    </xdr:from>
    <xdr:to>
      <xdr:col>8</xdr:col>
      <xdr:colOff>586316</xdr:colOff>
      <xdr:row>11</xdr:row>
      <xdr:rowOff>110067</xdr:rowOff>
    </xdr:to>
    <xdr:sp macro="" textlink="">
      <xdr:nvSpPr>
        <xdr:cNvPr id="2" name="Rectangle 1">
          <a:hlinkClick xmlns:r="http://schemas.openxmlformats.org/officeDocument/2006/relationships" r:id="rId1"/>
        </xdr:cNvPr>
        <xdr:cNvSpPr/>
      </xdr:nvSpPr>
      <xdr:spPr>
        <a:xfrm>
          <a:off x="5648325" y="1733550"/>
          <a:ext cx="1595966" cy="491067"/>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return to</a:t>
          </a:r>
          <a:r>
            <a:rPr lang="en-GB" sz="1100" b="1">
              <a:solidFill>
                <a:sysClr val="windowText" lastClr="000000"/>
              </a:solidFill>
            </a:rPr>
            <a:t> Tenure</a:t>
          </a:r>
          <a:r>
            <a:rPr lang="en-GB" sz="1100" b="1" baseline="0">
              <a:solidFill>
                <a:sysClr val="windowText" lastClr="000000"/>
              </a:solidFill>
            </a:rPr>
            <a:t> Split (Wales)</a:t>
          </a:r>
          <a:endParaRPr lang="en-GB" sz="1100">
            <a:solidFill>
              <a:sysClr val="windowText" lastClr="000000"/>
            </a:solidFill>
          </a:endParaRPr>
        </a:p>
      </xdr:txBody>
    </xdr:sp>
    <xdr:clientData/>
  </xdr:twoCellAnchor>
  <xdr:twoCellAnchor>
    <xdr:from>
      <xdr:col>6</xdr:col>
      <xdr:colOff>209550</xdr:colOff>
      <xdr:row>5</xdr:row>
      <xdr:rowOff>180975</xdr:rowOff>
    </xdr:from>
    <xdr:to>
      <xdr:col>8</xdr:col>
      <xdr:colOff>586316</xdr:colOff>
      <xdr:row>8</xdr:row>
      <xdr:rowOff>119592</xdr:rowOff>
    </xdr:to>
    <xdr:sp macro="" textlink="">
      <xdr:nvSpPr>
        <xdr:cNvPr id="3" name="Rectangle 2">
          <a:hlinkClick xmlns:r="http://schemas.openxmlformats.org/officeDocument/2006/relationships" r:id="rId2"/>
        </xdr:cNvPr>
        <xdr:cNvSpPr/>
      </xdr:nvSpPr>
      <xdr:spPr>
        <a:xfrm>
          <a:off x="5648325" y="1133475"/>
          <a:ext cx="1595966" cy="51964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CLICK</a:t>
          </a:r>
          <a:r>
            <a:rPr lang="en-GB" sz="1100" baseline="0">
              <a:solidFill>
                <a:sysClr val="windowText" lastClr="000000"/>
              </a:solidFill>
            </a:rPr>
            <a:t> to go to</a:t>
          </a:r>
          <a:r>
            <a:rPr lang="en-GB" sz="1100" b="1" baseline="0">
              <a:solidFill>
                <a:sysClr val="windowText" lastClr="000000"/>
              </a:solidFill>
            </a:rPr>
            <a:t> </a:t>
          </a:r>
          <a:r>
            <a:rPr lang="en-GB" sz="1100" b="0" baseline="0">
              <a:solidFill>
                <a:sysClr val="windowText" lastClr="000000"/>
              </a:solidFill>
            </a:rPr>
            <a:t>sheet </a:t>
          </a:r>
          <a:r>
            <a:rPr lang="en-GB" sz="1100" b="1" baseline="0">
              <a:solidFill>
                <a:sysClr val="windowText" lastClr="000000"/>
              </a:solidFill>
            </a:rPr>
            <a:t>Variable Guidance</a:t>
          </a:r>
          <a:endParaRPr lang="en-GB" sz="11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gov.wales/estimates-housing-need-wales-tenure-2018-based" TargetMode="External"/><Relationship Id="rId2" Type="http://schemas.openxmlformats.org/officeDocument/2006/relationships/hyperlink" Target="mailto:stats.housing@gov.wales?subject=Estimates%20of%20Housing%20Need%20-%20Excel%20Tool" TargetMode="External"/><Relationship Id="rId1" Type="http://schemas.openxmlformats.org/officeDocument/2006/relationships/hyperlink" Target="https://gov.wales/housing-need-and-demand-2018-based"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gov.wales/housing-need-and-demand-2018-based" TargetMode="External"/><Relationship Id="rId7" Type="http://schemas.openxmlformats.org/officeDocument/2006/relationships/drawing" Target="../drawings/drawing2.xml"/><Relationship Id="rId2" Type="http://schemas.openxmlformats.org/officeDocument/2006/relationships/hyperlink" Target="https://gov.wales/private-sector-rents-2017" TargetMode="External"/><Relationship Id="rId1" Type="http://schemas.openxmlformats.org/officeDocument/2006/relationships/hyperlink" Target="https://gov.wales/household-projections-local-authorities-2014-based" TargetMode="External"/><Relationship Id="rId6" Type="http://schemas.openxmlformats.org/officeDocument/2006/relationships/printerSettings" Target="../printerSettings/printerSettings2.bin"/><Relationship Id="rId5" Type="http://schemas.openxmlformats.org/officeDocument/2006/relationships/hyperlink" Target="https://obr.uk/download/march-2019-economic-and-fiscal-outlook-supplementary-economy-tables" TargetMode="External"/><Relationship Id="rId4" Type="http://schemas.openxmlformats.org/officeDocument/2006/relationships/hyperlink" Target="https://obr.uk/download/march-2019-economic-and-fiscal-outlook-supplementary-economy-table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Q61"/>
  <sheetViews>
    <sheetView showGridLines="0" tabSelected="1" zoomScale="80" zoomScaleNormal="80" workbookViewId="0"/>
  </sheetViews>
  <sheetFormatPr defaultColWidth="9.140625" defaultRowHeight="15" x14ac:dyDescent="0.25"/>
  <cols>
    <col min="1" max="1" width="1.5703125" style="8" customWidth="1"/>
    <col min="2" max="2" width="34.140625" style="8" customWidth="1"/>
    <col min="3" max="3" width="9.140625" style="8" customWidth="1"/>
    <col min="4" max="16384" width="9.140625" style="8"/>
  </cols>
  <sheetData>
    <row r="1" spans="2:13" ht="23.25" x14ac:dyDescent="0.35">
      <c r="B1" s="233" t="s">
        <v>180</v>
      </c>
    </row>
    <row r="2" spans="2:13" ht="15" customHeight="1" x14ac:dyDescent="0.25">
      <c r="B2" s="8" t="s">
        <v>326</v>
      </c>
      <c r="C2" s="308">
        <v>1</v>
      </c>
    </row>
    <row r="3" spans="2:13" x14ac:dyDescent="0.25">
      <c r="B3" s="8" t="s">
        <v>181</v>
      </c>
      <c r="C3" s="8" t="s">
        <v>297</v>
      </c>
    </row>
    <row r="4" spans="2:13" x14ac:dyDescent="0.25">
      <c r="B4" s="8" t="s">
        <v>262</v>
      </c>
      <c r="C4" s="276" t="s">
        <v>298</v>
      </c>
    </row>
    <row r="6" spans="2:13" ht="18.75" x14ac:dyDescent="0.3">
      <c r="B6" s="10" t="s">
        <v>182</v>
      </c>
    </row>
    <row r="7" spans="2:13" ht="19.5" customHeight="1" x14ac:dyDescent="0.25">
      <c r="B7" s="323" t="s">
        <v>310</v>
      </c>
      <c r="C7" s="324"/>
      <c r="D7" s="324"/>
      <c r="E7" s="324"/>
      <c r="F7" s="324"/>
      <c r="G7" s="324"/>
      <c r="H7" s="324"/>
      <c r="I7" s="324"/>
      <c r="J7" s="324"/>
      <c r="K7" s="324"/>
      <c r="L7" s="324"/>
      <c r="M7" s="325"/>
    </row>
    <row r="8" spans="2:13" ht="19.5" customHeight="1" x14ac:dyDescent="0.25">
      <c r="B8" s="326"/>
      <c r="C8" s="327"/>
      <c r="D8" s="327"/>
      <c r="E8" s="327"/>
      <c r="F8" s="327"/>
      <c r="G8" s="327"/>
      <c r="H8" s="327"/>
      <c r="I8" s="327"/>
      <c r="J8" s="327"/>
      <c r="K8" s="327"/>
      <c r="L8" s="327"/>
      <c r="M8" s="328"/>
    </row>
    <row r="9" spans="2:13" ht="21" customHeight="1" x14ac:dyDescent="0.25">
      <c r="B9" s="326"/>
      <c r="C9" s="327"/>
      <c r="D9" s="327"/>
      <c r="E9" s="327"/>
      <c r="F9" s="327"/>
      <c r="G9" s="327"/>
      <c r="H9" s="327"/>
      <c r="I9" s="327"/>
      <c r="J9" s="327"/>
      <c r="K9" s="327"/>
      <c r="L9" s="327"/>
      <c r="M9" s="328"/>
    </row>
    <row r="10" spans="2:13" ht="19.5" customHeight="1" x14ac:dyDescent="0.25">
      <c r="B10" s="326"/>
      <c r="C10" s="327"/>
      <c r="D10" s="327"/>
      <c r="E10" s="327"/>
      <c r="F10" s="327"/>
      <c r="G10" s="327"/>
      <c r="H10" s="327"/>
      <c r="I10" s="327"/>
      <c r="J10" s="327"/>
      <c r="K10" s="327"/>
      <c r="L10" s="327"/>
      <c r="M10" s="328"/>
    </row>
    <row r="11" spans="2:13" ht="19.5" customHeight="1" x14ac:dyDescent="0.25">
      <c r="B11" s="326"/>
      <c r="C11" s="327"/>
      <c r="D11" s="327"/>
      <c r="E11" s="327"/>
      <c r="F11" s="327"/>
      <c r="G11" s="327"/>
      <c r="H11" s="327"/>
      <c r="I11" s="327"/>
      <c r="J11" s="327"/>
      <c r="K11" s="327"/>
      <c r="L11" s="327"/>
      <c r="M11" s="328"/>
    </row>
    <row r="12" spans="2:13" ht="19.5" customHeight="1" x14ac:dyDescent="0.25">
      <c r="B12" s="326"/>
      <c r="C12" s="327"/>
      <c r="D12" s="327"/>
      <c r="E12" s="327"/>
      <c r="F12" s="327"/>
      <c r="G12" s="327"/>
      <c r="H12" s="327"/>
      <c r="I12" s="327"/>
      <c r="J12" s="327"/>
      <c r="K12" s="327"/>
      <c r="L12" s="327"/>
      <c r="M12" s="328"/>
    </row>
    <row r="13" spans="2:13" ht="19.5" customHeight="1" x14ac:dyDescent="0.25">
      <c r="B13" s="326"/>
      <c r="C13" s="327"/>
      <c r="D13" s="327"/>
      <c r="E13" s="327"/>
      <c r="F13" s="327"/>
      <c r="G13" s="327"/>
      <c r="H13" s="327"/>
      <c r="I13" s="327"/>
      <c r="J13" s="327"/>
      <c r="K13" s="327"/>
      <c r="L13" s="327"/>
      <c r="M13" s="328"/>
    </row>
    <row r="14" spans="2:13" ht="19.5" customHeight="1" x14ac:dyDescent="0.25">
      <c r="B14" s="326"/>
      <c r="C14" s="327"/>
      <c r="D14" s="327"/>
      <c r="E14" s="327"/>
      <c r="F14" s="327"/>
      <c r="G14" s="327"/>
      <c r="H14" s="327"/>
      <c r="I14" s="327"/>
      <c r="J14" s="327"/>
      <c r="K14" s="327"/>
      <c r="L14" s="327"/>
      <c r="M14" s="328"/>
    </row>
    <row r="15" spans="2:13" ht="19.5" customHeight="1" x14ac:dyDescent="0.25">
      <c r="B15" s="326"/>
      <c r="C15" s="327"/>
      <c r="D15" s="327"/>
      <c r="E15" s="327"/>
      <c r="F15" s="327"/>
      <c r="G15" s="327"/>
      <c r="H15" s="327"/>
      <c r="I15" s="327"/>
      <c r="J15" s="327"/>
      <c r="K15" s="327"/>
      <c r="L15" s="327"/>
      <c r="M15" s="328"/>
    </row>
    <row r="16" spans="2:13" ht="19.5" customHeight="1" x14ac:dyDescent="0.25">
      <c r="B16" s="326"/>
      <c r="C16" s="327"/>
      <c r="D16" s="327"/>
      <c r="E16" s="327"/>
      <c r="F16" s="327"/>
      <c r="G16" s="327"/>
      <c r="H16" s="327"/>
      <c r="I16" s="327"/>
      <c r="J16" s="327"/>
      <c r="K16" s="327"/>
      <c r="L16" s="327"/>
      <c r="M16" s="328"/>
    </row>
    <row r="17" spans="2:13" ht="19.5" customHeight="1" x14ac:dyDescent="0.25">
      <c r="B17" s="326"/>
      <c r="C17" s="327"/>
      <c r="D17" s="327"/>
      <c r="E17" s="327"/>
      <c r="F17" s="327"/>
      <c r="G17" s="327"/>
      <c r="H17" s="327"/>
      <c r="I17" s="327"/>
      <c r="J17" s="327"/>
      <c r="K17" s="327"/>
      <c r="L17" s="327"/>
      <c r="M17" s="328"/>
    </row>
    <row r="18" spans="2:13" ht="19.5" customHeight="1" x14ac:dyDescent="0.25">
      <c r="B18" s="326"/>
      <c r="C18" s="327"/>
      <c r="D18" s="327"/>
      <c r="E18" s="327"/>
      <c r="F18" s="327"/>
      <c r="G18" s="327"/>
      <c r="H18" s="327"/>
      <c r="I18" s="327"/>
      <c r="J18" s="327"/>
      <c r="K18" s="327"/>
      <c r="L18" s="327"/>
      <c r="M18" s="328"/>
    </row>
    <row r="19" spans="2:13" ht="19.5" customHeight="1" x14ac:dyDescent="0.25">
      <c r="B19" s="326"/>
      <c r="C19" s="327"/>
      <c r="D19" s="327"/>
      <c r="E19" s="327"/>
      <c r="F19" s="327"/>
      <c r="G19" s="327"/>
      <c r="H19" s="327"/>
      <c r="I19" s="327"/>
      <c r="J19" s="327"/>
      <c r="K19" s="327"/>
      <c r="L19" s="327"/>
      <c r="M19" s="328"/>
    </row>
    <row r="20" spans="2:13" ht="19.5" customHeight="1" x14ac:dyDescent="0.25">
      <c r="B20" s="326"/>
      <c r="C20" s="327"/>
      <c r="D20" s="327"/>
      <c r="E20" s="327"/>
      <c r="F20" s="327"/>
      <c r="G20" s="327"/>
      <c r="H20" s="327"/>
      <c r="I20" s="327"/>
      <c r="J20" s="327"/>
      <c r="K20" s="327"/>
      <c r="L20" s="327"/>
      <c r="M20" s="328"/>
    </row>
    <row r="21" spans="2:13" ht="19.5" customHeight="1" x14ac:dyDescent="0.25">
      <c r="B21" s="326"/>
      <c r="C21" s="327"/>
      <c r="D21" s="327"/>
      <c r="E21" s="327"/>
      <c r="F21" s="327"/>
      <c r="G21" s="327"/>
      <c r="H21" s="327"/>
      <c r="I21" s="327"/>
      <c r="J21" s="327"/>
      <c r="K21" s="327"/>
      <c r="L21" s="327"/>
      <c r="M21" s="328"/>
    </row>
    <row r="22" spans="2:13" ht="45" customHeight="1" x14ac:dyDescent="0.25">
      <c r="B22" s="329"/>
      <c r="C22" s="330"/>
      <c r="D22" s="330"/>
      <c r="E22" s="330"/>
      <c r="F22" s="330"/>
      <c r="G22" s="330"/>
      <c r="H22" s="330"/>
      <c r="I22" s="330"/>
      <c r="J22" s="330"/>
      <c r="K22" s="330"/>
      <c r="L22" s="330"/>
      <c r="M22" s="331"/>
    </row>
    <row r="23" spans="2:13" x14ac:dyDescent="0.25">
      <c r="B23" s="234"/>
      <c r="C23" s="234"/>
      <c r="D23" s="234"/>
      <c r="E23" s="234"/>
      <c r="F23" s="234"/>
      <c r="G23" s="234"/>
      <c r="H23" s="234"/>
      <c r="I23" s="234"/>
      <c r="J23" s="234"/>
      <c r="K23" s="234"/>
      <c r="L23" s="234"/>
      <c r="M23" s="234"/>
    </row>
    <row r="24" spans="2:13" ht="18.75" x14ac:dyDescent="0.3">
      <c r="B24" s="304" t="s">
        <v>215</v>
      </c>
      <c r="C24" s="235"/>
      <c r="D24" s="235"/>
      <c r="E24" s="235"/>
      <c r="F24" s="235"/>
      <c r="G24" s="235"/>
      <c r="H24" s="235"/>
    </row>
    <row r="26" spans="2:13" x14ac:dyDescent="0.25">
      <c r="B26" s="3" t="s">
        <v>264</v>
      </c>
    </row>
    <row r="27" spans="2:13" x14ac:dyDescent="0.25">
      <c r="B27" s="314" t="s">
        <v>263</v>
      </c>
      <c r="C27" s="315"/>
      <c r="D27" s="315"/>
      <c r="E27" s="315"/>
      <c r="F27" s="315"/>
      <c r="G27" s="315"/>
      <c r="H27" s="315"/>
      <c r="I27" s="315"/>
      <c r="J27" s="315"/>
      <c r="K27" s="315"/>
      <c r="L27" s="315"/>
      <c r="M27" s="316"/>
    </row>
    <row r="28" spans="2:13" x14ac:dyDescent="0.25">
      <c r="B28" s="317"/>
      <c r="C28" s="318"/>
      <c r="D28" s="318"/>
      <c r="E28" s="318"/>
      <c r="F28" s="318"/>
      <c r="G28" s="318"/>
      <c r="H28" s="318"/>
      <c r="I28" s="318"/>
      <c r="J28" s="318"/>
      <c r="K28" s="318"/>
      <c r="L28" s="318"/>
      <c r="M28" s="319"/>
    </row>
    <row r="29" spans="2:13" x14ac:dyDescent="0.25">
      <c r="B29" s="317"/>
      <c r="C29" s="318"/>
      <c r="D29" s="318"/>
      <c r="E29" s="318"/>
      <c r="F29" s="318"/>
      <c r="G29" s="318"/>
      <c r="H29" s="318"/>
      <c r="I29" s="318"/>
      <c r="J29" s="318"/>
      <c r="K29" s="318"/>
      <c r="L29" s="318"/>
      <c r="M29" s="319"/>
    </row>
    <row r="30" spans="2:13" ht="29.25" customHeight="1" x14ac:dyDescent="0.25">
      <c r="B30" s="320"/>
      <c r="C30" s="321"/>
      <c r="D30" s="321"/>
      <c r="E30" s="321"/>
      <c r="F30" s="321"/>
      <c r="G30" s="321"/>
      <c r="H30" s="321"/>
      <c r="I30" s="321"/>
      <c r="J30" s="321"/>
      <c r="K30" s="321"/>
      <c r="L30" s="321"/>
      <c r="M30" s="322"/>
    </row>
    <row r="32" spans="2:13" x14ac:dyDescent="0.25">
      <c r="B32" s="3" t="s">
        <v>216</v>
      </c>
    </row>
    <row r="33" spans="2:17" s="236" customFormat="1" ht="23.25" customHeight="1" x14ac:dyDescent="0.25">
      <c r="B33" s="237" t="s">
        <v>217</v>
      </c>
      <c r="C33" s="238" t="s">
        <v>44</v>
      </c>
      <c r="D33" s="238"/>
      <c r="E33" s="239"/>
      <c r="F33" s="239"/>
      <c r="G33" s="239"/>
      <c r="H33" s="239"/>
      <c r="I33" s="239"/>
      <c r="J33" s="239"/>
      <c r="K33" s="239"/>
      <c r="L33" s="239"/>
      <c r="M33" s="239"/>
      <c r="N33" s="239"/>
      <c r="O33" s="239"/>
      <c r="P33" s="239"/>
      <c r="Q33" s="240"/>
    </row>
    <row r="34" spans="2:17" ht="14.25" customHeight="1" x14ac:dyDescent="0.25">
      <c r="B34" s="241" t="s">
        <v>214</v>
      </c>
      <c r="C34" s="332" t="s">
        <v>245</v>
      </c>
      <c r="D34" s="332"/>
      <c r="E34" s="332"/>
      <c r="F34" s="332"/>
      <c r="G34" s="332"/>
      <c r="H34" s="332"/>
      <c r="I34" s="332"/>
      <c r="J34" s="332"/>
      <c r="K34" s="332"/>
      <c r="L34" s="332"/>
      <c r="M34" s="332"/>
      <c r="N34" s="332"/>
      <c r="O34" s="332"/>
      <c r="P34" s="332"/>
      <c r="Q34" s="333"/>
    </row>
    <row r="35" spans="2:17" ht="14.25" customHeight="1" x14ac:dyDescent="0.25">
      <c r="B35" s="242" t="s">
        <v>218</v>
      </c>
      <c r="C35" s="334" t="s">
        <v>246</v>
      </c>
      <c r="D35" s="334"/>
      <c r="E35" s="334"/>
      <c r="F35" s="334"/>
      <c r="G35" s="334"/>
      <c r="H35" s="334"/>
      <c r="I35" s="334"/>
      <c r="J35" s="334"/>
      <c r="K35" s="334"/>
      <c r="L35" s="334"/>
      <c r="M35" s="334"/>
      <c r="N35" s="334"/>
      <c r="O35" s="334"/>
      <c r="P35" s="334"/>
      <c r="Q35" s="335"/>
    </row>
    <row r="36" spans="2:17" ht="14.25" customHeight="1" x14ac:dyDescent="0.25">
      <c r="B36" s="242" t="s">
        <v>219</v>
      </c>
      <c r="C36" s="334" t="s">
        <v>247</v>
      </c>
      <c r="D36" s="334"/>
      <c r="E36" s="334"/>
      <c r="F36" s="334"/>
      <c r="G36" s="334"/>
      <c r="H36" s="334"/>
      <c r="I36" s="334"/>
      <c r="J36" s="334"/>
      <c r="K36" s="334"/>
      <c r="L36" s="334"/>
      <c r="M36" s="334"/>
      <c r="N36" s="334"/>
      <c r="O36" s="334"/>
      <c r="P36" s="334"/>
      <c r="Q36" s="335"/>
    </row>
    <row r="37" spans="2:17" ht="14.25" customHeight="1" x14ac:dyDescent="0.25">
      <c r="B37" s="242" t="s">
        <v>220</v>
      </c>
      <c r="C37" s="334" t="s">
        <v>261</v>
      </c>
      <c r="D37" s="334"/>
      <c r="E37" s="334"/>
      <c r="F37" s="334"/>
      <c r="G37" s="334"/>
      <c r="H37" s="334"/>
      <c r="I37" s="334"/>
      <c r="J37" s="334"/>
      <c r="K37" s="334"/>
      <c r="L37" s="334"/>
      <c r="M37" s="334"/>
      <c r="N37" s="334"/>
      <c r="O37" s="334"/>
      <c r="P37" s="334"/>
      <c r="Q37" s="335"/>
    </row>
    <row r="38" spans="2:17" ht="14.25" customHeight="1" x14ac:dyDescent="0.25">
      <c r="B38" s="242" t="s">
        <v>221</v>
      </c>
      <c r="C38" s="334" t="s">
        <v>247</v>
      </c>
      <c r="D38" s="334"/>
      <c r="E38" s="334"/>
      <c r="F38" s="334"/>
      <c r="G38" s="334"/>
      <c r="H38" s="334"/>
      <c r="I38" s="334"/>
      <c r="J38" s="334"/>
      <c r="K38" s="334"/>
      <c r="L38" s="334"/>
      <c r="M38" s="334"/>
      <c r="N38" s="334"/>
      <c r="O38" s="334"/>
      <c r="P38" s="334"/>
      <c r="Q38" s="335"/>
    </row>
    <row r="39" spans="2:17" ht="14.25" customHeight="1" x14ac:dyDescent="0.25">
      <c r="B39" s="243" t="s">
        <v>222</v>
      </c>
      <c r="C39" s="312" t="s">
        <v>248</v>
      </c>
      <c r="D39" s="312"/>
      <c r="E39" s="312"/>
      <c r="F39" s="312"/>
      <c r="G39" s="312"/>
      <c r="H39" s="312"/>
      <c r="I39" s="312"/>
      <c r="J39" s="312"/>
      <c r="K39" s="312"/>
      <c r="L39" s="312"/>
      <c r="M39" s="312"/>
      <c r="N39" s="312"/>
      <c r="O39" s="312"/>
      <c r="P39" s="312"/>
      <c r="Q39" s="313"/>
    </row>
    <row r="40" spans="2:17" ht="14.25" customHeight="1" x14ac:dyDescent="0.25">
      <c r="B40" s="243" t="s">
        <v>223</v>
      </c>
      <c r="C40" s="312" t="s">
        <v>249</v>
      </c>
      <c r="D40" s="312"/>
      <c r="E40" s="312"/>
      <c r="F40" s="312"/>
      <c r="G40" s="312"/>
      <c r="H40" s="312"/>
      <c r="I40" s="312"/>
      <c r="J40" s="312"/>
      <c r="K40" s="312"/>
      <c r="L40" s="312"/>
      <c r="M40" s="312"/>
      <c r="N40" s="312"/>
      <c r="O40" s="312"/>
      <c r="P40" s="312"/>
      <c r="Q40" s="313"/>
    </row>
    <row r="41" spans="2:17" ht="14.25" customHeight="1" x14ac:dyDescent="0.25">
      <c r="B41" s="243" t="s">
        <v>224</v>
      </c>
      <c r="C41" s="312" t="s">
        <v>250</v>
      </c>
      <c r="D41" s="312"/>
      <c r="E41" s="312"/>
      <c r="F41" s="312"/>
      <c r="G41" s="312"/>
      <c r="H41" s="312"/>
      <c r="I41" s="312"/>
      <c r="J41" s="312"/>
      <c r="K41" s="312"/>
      <c r="L41" s="312"/>
      <c r="M41" s="312"/>
      <c r="N41" s="312"/>
      <c r="O41" s="312"/>
      <c r="P41" s="312"/>
      <c r="Q41" s="313"/>
    </row>
    <row r="42" spans="2:17" ht="14.25" customHeight="1" x14ac:dyDescent="0.25">
      <c r="B42" s="243" t="s">
        <v>225</v>
      </c>
      <c r="C42" s="312" t="s">
        <v>251</v>
      </c>
      <c r="D42" s="312"/>
      <c r="E42" s="312"/>
      <c r="F42" s="312"/>
      <c r="G42" s="312"/>
      <c r="H42" s="312"/>
      <c r="I42" s="312"/>
      <c r="J42" s="312"/>
      <c r="K42" s="312"/>
      <c r="L42" s="312"/>
      <c r="M42" s="312"/>
      <c r="N42" s="312"/>
      <c r="O42" s="312"/>
      <c r="P42" s="312"/>
      <c r="Q42" s="313"/>
    </row>
    <row r="43" spans="2:17" ht="14.25" customHeight="1" x14ac:dyDescent="0.25">
      <c r="B43" s="243" t="s">
        <v>52</v>
      </c>
      <c r="C43" s="312" t="s">
        <v>252</v>
      </c>
      <c r="D43" s="312"/>
      <c r="E43" s="312"/>
      <c r="F43" s="312"/>
      <c r="G43" s="312"/>
      <c r="H43" s="312"/>
      <c r="I43" s="312"/>
      <c r="J43" s="312"/>
      <c r="K43" s="312"/>
      <c r="L43" s="312"/>
      <c r="M43" s="312"/>
      <c r="N43" s="312"/>
      <c r="O43" s="312"/>
      <c r="P43" s="312"/>
      <c r="Q43" s="313"/>
    </row>
    <row r="44" spans="2:17" ht="14.25" customHeight="1" x14ac:dyDescent="0.25">
      <c r="B44" s="243" t="s">
        <v>226</v>
      </c>
      <c r="C44" s="312" t="s">
        <v>253</v>
      </c>
      <c r="D44" s="312"/>
      <c r="E44" s="312"/>
      <c r="F44" s="312"/>
      <c r="G44" s="312"/>
      <c r="H44" s="312"/>
      <c r="I44" s="312"/>
      <c r="J44" s="312"/>
      <c r="K44" s="312"/>
      <c r="L44" s="312"/>
      <c r="M44" s="312"/>
      <c r="N44" s="312"/>
      <c r="O44" s="312"/>
      <c r="P44" s="312"/>
      <c r="Q44" s="313"/>
    </row>
    <row r="45" spans="2:17" ht="14.25" customHeight="1" x14ac:dyDescent="0.25">
      <c r="B45" s="243" t="s">
        <v>227</v>
      </c>
      <c r="C45" s="312" t="s">
        <v>254</v>
      </c>
      <c r="D45" s="312"/>
      <c r="E45" s="312"/>
      <c r="F45" s="312"/>
      <c r="G45" s="312"/>
      <c r="H45" s="312"/>
      <c r="I45" s="312"/>
      <c r="J45" s="312"/>
      <c r="K45" s="312"/>
      <c r="L45" s="312"/>
      <c r="M45" s="312"/>
      <c r="N45" s="312"/>
      <c r="O45" s="312"/>
      <c r="P45" s="312"/>
      <c r="Q45" s="313"/>
    </row>
    <row r="46" spans="2:17" ht="14.25" customHeight="1" x14ac:dyDescent="0.25">
      <c r="B46" s="243" t="s">
        <v>21</v>
      </c>
      <c r="C46" s="312" t="s">
        <v>255</v>
      </c>
      <c r="D46" s="312"/>
      <c r="E46" s="312"/>
      <c r="F46" s="312"/>
      <c r="G46" s="312"/>
      <c r="H46" s="312"/>
      <c r="I46" s="312"/>
      <c r="J46" s="312"/>
      <c r="K46" s="312"/>
      <c r="L46" s="312"/>
      <c r="M46" s="312"/>
      <c r="N46" s="312"/>
      <c r="O46" s="312"/>
      <c r="P46" s="312"/>
      <c r="Q46" s="313"/>
    </row>
    <row r="47" spans="2:17" ht="14.25" customHeight="1" x14ac:dyDescent="0.25">
      <c r="B47" s="243" t="s">
        <v>23</v>
      </c>
      <c r="C47" s="312" t="s">
        <v>273</v>
      </c>
      <c r="D47" s="312"/>
      <c r="E47" s="312"/>
      <c r="F47" s="312"/>
      <c r="G47" s="312"/>
      <c r="H47" s="312"/>
      <c r="I47" s="312"/>
      <c r="J47" s="312"/>
      <c r="K47" s="312"/>
      <c r="L47" s="312"/>
      <c r="M47" s="312"/>
      <c r="N47" s="312"/>
      <c r="O47" s="312"/>
      <c r="P47" s="312"/>
      <c r="Q47" s="313"/>
    </row>
    <row r="48" spans="2:17" ht="14.25" customHeight="1" x14ac:dyDescent="0.25">
      <c r="B48" s="243" t="s">
        <v>228</v>
      </c>
      <c r="C48" s="312" t="s">
        <v>256</v>
      </c>
      <c r="D48" s="312"/>
      <c r="E48" s="312"/>
      <c r="F48" s="312"/>
      <c r="G48" s="312"/>
      <c r="H48" s="312"/>
      <c r="I48" s="312"/>
      <c r="J48" s="312"/>
      <c r="K48" s="312"/>
      <c r="L48" s="312"/>
      <c r="M48" s="312"/>
      <c r="N48" s="312"/>
      <c r="O48" s="312"/>
      <c r="P48" s="312"/>
      <c r="Q48" s="313"/>
    </row>
    <row r="49" spans="2:17" ht="14.25" customHeight="1" x14ac:dyDescent="0.25">
      <c r="B49" s="243" t="s">
        <v>229</v>
      </c>
      <c r="C49" s="312" t="s">
        <v>257</v>
      </c>
      <c r="D49" s="312"/>
      <c r="E49" s="312"/>
      <c r="F49" s="312"/>
      <c r="G49" s="312"/>
      <c r="H49" s="312"/>
      <c r="I49" s="312"/>
      <c r="J49" s="312"/>
      <c r="K49" s="312"/>
      <c r="L49" s="312"/>
      <c r="M49" s="312"/>
      <c r="N49" s="312"/>
      <c r="O49" s="312"/>
      <c r="P49" s="312"/>
      <c r="Q49" s="313"/>
    </row>
    <row r="50" spans="2:17" ht="14.25" customHeight="1" x14ac:dyDescent="0.25">
      <c r="B50" s="243" t="s">
        <v>230</v>
      </c>
      <c r="C50" s="312" t="s">
        <v>258</v>
      </c>
      <c r="D50" s="312"/>
      <c r="E50" s="312"/>
      <c r="F50" s="312"/>
      <c r="G50" s="312"/>
      <c r="H50" s="312"/>
      <c r="I50" s="312"/>
      <c r="J50" s="312"/>
      <c r="K50" s="312"/>
      <c r="L50" s="312"/>
      <c r="M50" s="312"/>
      <c r="N50" s="312"/>
      <c r="O50" s="312"/>
      <c r="P50" s="312"/>
      <c r="Q50" s="313"/>
    </row>
    <row r="51" spans="2:17" ht="14.25" customHeight="1" x14ac:dyDescent="0.25">
      <c r="B51" s="243" t="s">
        <v>231</v>
      </c>
      <c r="C51" s="312" t="s">
        <v>259</v>
      </c>
      <c r="D51" s="312"/>
      <c r="E51" s="312"/>
      <c r="F51" s="312"/>
      <c r="G51" s="312"/>
      <c r="H51" s="312"/>
      <c r="I51" s="312"/>
      <c r="J51" s="312"/>
      <c r="K51" s="312"/>
      <c r="L51" s="312"/>
      <c r="M51" s="312"/>
      <c r="N51" s="312"/>
      <c r="O51" s="312"/>
      <c r="P51" s="312"/>
      <c r="Q51" s="313"/>
    </row>
    <row r="52" spans="2:17" ht="14.25" customHeight="1" x14ac:dyDescent="0.25">
      <c r="B52" s="243" t="s">
        <v>232</v>
      </c>
      <c r="C52" s="312" t="s">
        <v>274</v>
      </c>
      <c r="D52" s="312"/>
      <c r="E52" s="312"/>
      <c r="F52" s="312"/>
      <c r="G52" s="312"/>
      <c r="H52" s="312"/>
      <c r="I52" s="312"/>
      <c r="J52" s="312"/>
      <c r="K52" s="312"/>
      <c r="L52" s="312"/>
      <c r="M52" s="312"/>
      <c r="N52" s="312"/>
      <c r="O52" s="312"/>
      <c r="P52" s="312"/>
      <c r="Q52" s="313"/>
    </row>
    <row r="53" spans="2:17" ht="14.25" customHeight="1" x14ac:dyDescent="0.25">
      <c r="B53" s="243" t="s">
        <v>233</v>
      </c>
      <c r="C53" s="312" t="s">
        <v>275</v>
      </c>
      <c r="D53" s="312"/>
      <c r="E53" s="312"/>
      <c r="F53" s="312"/>
      <c r="G53" s="312"/>
      <c r="H53" s="312"/>
      <c r="I53" s="312"/>
      <c r="J53" s="312"/>
      <c r="K53" s="312"/>
      <c r="L53" s="312"/>
      <c r="M53" s="312"/>
      <c r="N53" s="312"/>
      <c r="O53" s="312"/>
      <c r="P53" s="312"/>
      <c r="Q53" s="313"/>
    </row>
    <row r="54" spans="2:17" ht="14.25" customHeight="1" x14ac:dyDescent="0.25">
      <c r="B54" s="243" t="s">
        <v>234</v>
      </c>
      <c r="C54" s="312" t="s">
        <v>276</v>
      </c>
      <c r="D54" s="312"/>
      <c r="E54" s="312"/>
      <c r="F54" s="312"/>
      <c r="G54" s="312"/>
      <c r="H54" s="312"/>
      <c r="I54" s="312"/>
      <c r="J54" s="312"/>
      <c r="K54" s="312"/>
      <c r="L54" s="312"/>
      <c r="M54" s="312"/>
      <c r="N54" s="312"/>
      <c r="O54" s="312"/>
      <c r="P54" s="312"/>
      <c r="Q54" s="313"/>
    </row>
    <row r="55" spans="2:17" ht="14.25" customHeight="1" x14ac:dyDescent="0.25">
      <c r="B55" s="243" t="s">
        <v>235</v>
      </c>
      <c r="C55" s="312" t="s">
        <v>277</v>
      </c>
      <c r="D55" s="312"/>
      <c r="E55" s="312"/>
      <c r="F55" s="312"/>
      <c r="G55" s="312"/>
      <c r="H55" s="312"/>
      <c r="I55" s="312"/>
      <c r="J55" s="312"/>
      <c r="K55" s="312"/>
      <c r="L55" s="312"/>
      <c r="M55" s="312"/>
      <c r="N55" s="312"/>
      <c r="O55" s="312"/>
      <c r="P55" s="312"/>
      <c r="Q55" s="313"/>
    </row>
    <row r="56" spans="2:17" ht="14.25" customHeight="1" x14ac:dyDescent="0.25">
      <c r="B56" s="243" t="s">
        <v>8</v>
      </c>
      <c r="C56" s="312" t="s">
        <v>260</v>
      </c>
      <c r="D56" s="312"/>
      <c r="E56" s="312"/>
      <c r="F56" s="312"/>
      <c r="G56" s="312"/>
      <c r="H56" s="312"/>
      <c r="I56" s="312"/>
      <c r="J56" s="312"/>
      <c r="K56" s="312"/>
      <c r="L56" s="312"/>
      <c r="M56" s="312"/>
      <c r="N56" s="312"/>
      <c r="O56" s="312"/>
      <c r="P56" s="312"/>
      <c r="Q56" s="313"/>
    </row>
    <row r="57" spans="2:17" x14ac:dyDescent="0.25">
      <c r="B57" s="255" t="s">
        <v>270</v>
      </c>
      <c r="C57" s="256" t="s">
        <v>271</v>
      </c>
      <c r="D57" s="256"/>
      <c r="E57" s="256"/>
      <c r="F57" s="256"/>
      <c r="G57" s="256"/>
      <c r="H57" s="256"/>
      <c r="I57" s="256"/>
      <c r="J57" s="256"/>
      <c r="K57" s="256"/>
      <c r="L57" s="256"/>
      <c r="M57" s="256"/>
      <c r="N57" s="256"/>
      <c r="O57" s="256"/>
      <c r="P57" s="256"/>
      <c r="Q57" s="257"/>
    </row>
    <row r="59" spans="2:17" x14ac:dyDescent="0.25">
      <c r="B59" s="3" t="s">
        <v>238</v>
      </c>
    </row>
    <row r="60" spans="2:17" x14ac:dyDescent="0.25">
      <c r="B60" s="311" t="s">
        <v>236</v>
      </c>
    </row>
    <row r="61" spans="2:17" x14ac:dyDescent="0.25">
      <c r="B61" s="244" t="s">
        <v>237</v>
      </c>
    </row>
  </sheetData>
  <sheetProtection sheet="1" objects="1" scenarios="1"/>
  <mergeCells count="25">
    <mergeCell ref="C56:Q56"/>
    <mergeCell ref="C34:Q34"/>
    <mergeCell ref="C35:Q35"/>
    <mergeCell ref="C36:Q36"/>
    <mergeCell ref="C37:Q37"/>
    <mergeCell ref="C38:Q38"/>
    <mergeCell ref="C39:Q39"/>
    <mergeCell ref="C40:Q40"/>
    <mergeCell ref="C41:Q41"/>
    <mergeCell ref="C42:Q42"/>
    <mergeCell ref="C43:Q43"/>
    <mergeCell ref="C44:Q44"/>
    <mergeCell ref="C45:Q45"/>
    <mergeCell ref="C46:Q46"/>
    <mergeCell ref="C47:Q47"/>
    <mergeCell ref="C55:Q55"/>
    <mergeCell ref="C53:Q53"/>
    <mergeCell ref="C54:Q54"/>
    <mergeCell ref="B27:M30"/>
    <mergeCell ref="B7:M22"/>
    <mergeCell ref="C49:Q49"/>
    <mergeCell ref="C50:Q50"/>
    <mergeCell ref="C48:Q48"/>
    <mergeCell ref="C51:Q51"/>
    <mergeCell ref="C52:Q52"/>
  </mergeCells>
  <hyperlinks>
    <hyperlink ref="B34" location="'Variable Guidance'!A1" display="Variable Guidance"/>
    <hyperlink ref="B35" location="'Tenure Split (WALES)'!A1" display="Tenure Split (Wales)"/>
    <hyperlink ref="B36" location="'Tenure Split (North Wales)'!A1" display="Tenure Split (North Wales)"/>
    <hyperlink ref="B37" location="'Tenure Split (Mid and SW Wales)'!A1" display="Tenure Split (Mid and SW Wales)"/>
    <hyperlink ref="B38" location="'Tenure Split (SE Wales)'!A1" display="Tenure Split (SE Wales)"/>
    <hyperlink ref="B39" location="'Workings - Wales'!A1" display="Workings - Wales"/>
    <hyperlink ref="B40" location="'Workings - North Wales'!A1" display="Workings - North Wales"/>
    <hyperlink ref="B41" location="'Workings - Mid and SW Wales'!A1" display="Workings - Mid and SW Wales"/>
    <hyperlink ref="B42" location="'Workings - SE Wales'!A1" display="Workings - SE Wales"/>
    <hyperlink ref="B43" location="'Household Projections'!A1" display="Household Projections"/>
    <hyperlink ref="B44" location="'Yearly Assumptions'!A1" display="Yearly Assumptions"/>
    <hyperlink ref="B45" location="'Future Forecasts'!A1" display="Future Forecasts"/>
    <hyperlink ref="B46" location="'Rental Prices'!A1" display="Rental Prices"/>
    <hyperlink ref="B47" location="'Existing Unmet Need'!A1" display="Existing Unmet Need"/>
    <hyperlink ref="B48" location="'Income (Wales)'!A1" display="Income (Wales)"/>
    <hyperlink ref="B49" location="'Income (North Wales)'!A1" display="Income (North Wales)"/>
    <hyperlink ref="B50" location="'Income (Mid and SW Wales)'!A1" display="Income (Mid and SW Wales)"/>
    <hyperlink ref="B51" location="'Income (SE Wales)'!A1" display="Income (SE Wales)"/>
    <hyperlink ref="B52" location="'House Prices (Wales)'!A1" display="House Prices (Wales)"/>
    <hyperlink ref="B53" location="'House Prices (North Wales)'!A1" display="House Price (North Wales)"/>
    <hyperlink ref="B54" location="'House Prices (Mid and SW Wales)'!A1" display="House Prices (Mid and SW Wales)"/>
    <hyperlink ref="B55" location="'House Prices (SE Wales)'!A1" display="House Prices (SE Wales)"/>
    <hyperlink ref="B56" location="'Newly Arising Need'!A1" display="Newly Arising Need"/>
    <hyperlink ref="B61" r:id="rId1" display="Statistical Article of Overall Additional Housing Units"/>
    <hyperlink ref="C4" r:id="rId2"/>
    <hyperlink ref="B60" r:id="rId3"/>
  </hyperlinks>
  <pageMargins left="0.7" right="0.7" top="0.75" bottom="0.75" header="0.3" footer="0.3"/>
  <pageSetup paperSize="9" orientation="portrait" horizontalDpi="300" verticalDpi="300"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P62"/>
  <sheetViews>
    <sheetView showGridLines="0" zoomScaleNormal="100" workbookViewId="0">
      <selection activeCell="C59" sqref="C59"/>
    </sheetView>
  </sheetViews>
  <sheetFormatPr defaultColWidth="9.140625" defaultRowHeight="15" x14ac:dyDescent="0.25"/>
  <cols>
    <col min="1" max="1" width="1.7109375" style="1" customWidth="1"/>
    <col min="2" max="2" width="49.5703125" style="1" bestFit="1" customWidth="1"/>
    <col min="3" max="7" width="11.5703125" style="1" bestFit="1" customWidth="1"/>
    <col min="8" max="8" width="9.140625" style="1"/>
    <col min="9" max="9" width="9.140625" style="13"/>
    <col min="10" max="16384" width="9.140625" style="1"/>
  </cols>
  <sheetData>
    <row r="1" spans="2:7" ht="18.75" x14ac:dyDescent="0.3">
      <c r="B1" s="10" t="s">
        <v>1</v>
      </c>
    </row>
    <row r="2" spans="2:7" ht="14.25" customHeight="1" x14ac:dyDescent="0.3">
      <c r="B2" s="10"/>
    </row>
    <row r="3" spans="2:7" ht="15" customHeight="1" x14ac:dyDescent="0.25">
      <c r="B3" s="397" t="s">
        <v>280</v>
      </c>
      <c r="C3" s="398"/>
      <c r="D3" s="398"/>
      <c r="E3" s="398"/>
      <c r="F3" s="398"/>
      <c r="G3" s="399"/>
    </row>
    <row r="4" spans="2:7" x14ac:dyDescent="0.25">
      <c r="B4" s="400"/>
      <c r="C4" s="401"/>
      <c r="D4" s="401"/>
      <c r="E4" s="401"/>
      <c r="F4" s="401"/>
      <c r="G4" s="402"/>
    </row>
    <row r="5" spans="2:7" x14ac:dyDescent="0.25">
      <c r="B5" s="400"/>
      <c r="C5" s="401"/>
      <c r="D5" s="401"/>
      <c r="E5" s="401"/>
      <c r="F5" s="401"/>
      <c r="G5" s="402"/>
    </row>
    <row r="6" spans="2:7" x14ac:dyDescent="0.25">
      <c r="B6" s="403"/>
      <c r="C6" s="404"/>
      <c r="D6" s="404"/>
      <c r="E6" s="404"/>
      <c r="F6" s="404"/>
      <c r="G6" s="405"/>
    </row>
    <row r="7" spans="2:7" ht="18.75" x14ac:dyDescent="0.3">
      <c r="B7" s="10"/>
    </row>
    <row r="8" spans="2:7" ht="18.75" x14ac:dyDescent="0.3">
      <c r="B8" s="214" t="s">
        <v>242</v>
      </c>
      <c r="C8" s="17"/>
      <c r="D8" s="17"/>
      <c r="E8" s="17"/>
      <c r="F8" s="17"/>
      <c r="G8" s="194"/>
    </row>
    <row r="9" spans="2:7" ht="18.75" x14ac:dyDescent="0.3">
      <c r="B9" s="270"/>
      <c r="C9" s="12">
        <v>1</v>
      </c>
      <c r="D9" s="12">
        <v>2</v>
      </c>
      <c r="E9" s="12">
        <v>3</v>
      </c>
      <c r="F9" s="37">
        <v>4</v>
      </c>
      <c r="G9" s="195">
        <v>5</v>
      </c>
    </row>
    <row r="10" spans="2:7" x14ac:dyDescent="0.25">
      <c r="B10" s="20"/>
      <c r="C10" s="228" t="s">
        <v>9</v>
      </c>
      <c r="D10" s="228" t="s">
        <v>10</v>
      </c>
      <c r="E10" s="228" t="s">
        <v>11</v>
      </c>
      <c r="F10" s="228" t="s">
        <v>12</v>
      </c>
      <c r="G10" s="229" t="s">
        <v>13</v>
      </c>
    </row>
    <row r="11" spans="2:7" x14ac:dyDescent="0.25">
      <c r="B11" s="20" t="s">
        <v>8</v>
      </c>
      <c r="C11" s="21">
        <f t="array" ref="C11">INDEX('Newly Arising Need'!D8:D31,MATCH(1,($B$1='Newly Arising Need'!$C$8:$C$31)*('Tenure Split (WALES)'!$D$6='Newly Arising Need'!$B$8:$B$31),0))</f>
        <v>1784</v>
      </c>
      <c r="D11" s="21">
        <f t="array" ref="D11">INDEX('Newly Arising Need'!E8:E31,MATCH(1,($B$1='Newly Arising Need'!$C$8:$C$31)*('Tenure Split (WALES)'!$D$6='Newly Arising Need'!$B$8:$B$31),0))</f>
        <v>1709</v>
      </c>
      <c r="E11" s="21">
        <f t="array" ref="E11">INDEX('Newly Arising Need'!F8:F31,MATCH(1,($B$1='Newly Arising Need'!$C$8:$C$31)*('Tenure Split (WALES)'!$D$6='Newly Arising Need'!$B$8:$B$31),0))</f>
        <v>1708</v>
      </c>
      <c r="F11" s="21">
        <f t="array" ref="F11">INDEX('Newly Arising Need'!G8:G31,MATCH(1,($B$1='Newly Arising Need'!$C$8:$C$31)*('Tenure Split (WALES)'!$D$6='Newly Arising Need'!$B$8:$B$31),0))</f>
        <v>1827</v>
      </c>
      <c r="G11" s="22">
        <f t="array" ref="G11">INDEX('Newly Arising Need'!H8:H31,MATCH(1,($B$1='Newly Arising Need'!$C$8:$C$31)*('Tenure Split (WALES)'!$D$6='Newly Arising Need'!$B$8:$B$31),0))</f>
        <v>1702</v>
      </c>
    </row>
    <row r="12" spans="2:7" x14ac:dyDescent="0.25">
      <c r="B12" s="20" t="s">
        <v>23</v>
      </c>
      <c r="C12" s="21">
        <f>IF('Existing Unmet Need'!$C$28&gt;='Workings - Mid and SW Wales'!C9,IF('Tenure Split (WALES)'!$D$7="WG Estimates",'Existing Unmet Need'!$C$10/'Existing Unmet Need'!$C$28,'Existing Unmet Need'!$C$19/'Existing Unmet Need'!$C$28),0)</f>
        <v>230.6</v>
      </c>
      <c r="D12" s="21">
        <f>IF('Existing Unmet Need'!$C$28&gt;='Workings - Mid and SW Wales'!D9,IF('Tenure Split (WALES)'!$D$7="WG Estimates",'Existing Unmet Need'!$C$10/'Existing Unmet Need'!$C$28,'Existing Unmet Need'!$C$19/'Existing Unmet Need'!$C$28),0)</f>
        <v>230.6</v>
      </c>
      <c r="E12" s="21">
        <f>IF('Existing Unmet Need'!$C$28&gt;='Workings - Mid and SW Wales'!E9,IF('Tenure Split (WALES)'!$D$7="WG Estimates",'Existing Unmet Need'!$C$10/'Existing Unmet Need'!$C$28,'Existing Unmet Need'!$C$19/'Existing Unmet Need'!$C$28),0)</f>
        <v>230.6</v>
      </c>
      <c r="F12" s="21">
        <f>IF('Existing Unmet Need'!$C$28&gt;='Workings - Mid and SW Wales'!F9,IF('Tenure Split (WALES)'!$D$7="WG Estimates",'Existing Unmet Need'!$C$10/'Existing Unmet Need'!$C$28,'Existing Unmet Need'!$C$19/'Existing Unmet Need'!$C$28),0)</f>
        <v>230.6</v>
      </c>
      <c r="G12" s="22">
        <f>IF('Existing Unmet Need'!$C$28&gt;='Workings - Mid and SW Wales'!G9,IF('Tenure Split (WALES)'!$D$7="WG Estimates",'Existing Unmet Need'!$C$10/'Existing Unmet Need'!$C$28,'Existing Unmet Need'!$C$19/'Existing Unmet Need'!$C$28),0)</f>
        <v>230.6</v>
      </c>
    </row>
    <row r="13" spans="2:7" x14ac:dyDescent="0.25">
      <c r="B13" s="23" t="s">
        <v>24</v>
      </c>
      <c r="C13" s="230">
        <f>SUM(C11:C12)</f>
        <v>2014.6</v>
      </c>
      <c r="D13" s="230">
        <f t="shared" ref="D13:G13" si="0">SUM(D11:D12)</f>
        <v>1939.6</v>
      </c>
      <c r="E13" s="230">
        <f t="shared" si="0"/>
        <v>1938.6</v>
      </c>
      <c r="F13" s="230">
        <f t="shared" si="0"/>
        <v>2057.6</v>
      </c>
      <c r="G13" s="231">
        <f t="shared" si="0"/>
        <v>1932.6</v>
      </c>
    </row>
    <row r="14" spans="2:7" x14ac:dyDescent="0.25">
      <c r="C14" s="2"/>
      <c r="D14" s="2"/>
      <c r="E14" s="2"/>
      <c r="F14" s="2"/>
      <c r="G14" s="2"/>
    </row>
    <row r="15" spans="2:7" ht="18.75" x14ac:dyDescent="0.3">
      <c r="B15" s="214" t="s">
        <v>239</v>
      </c>
      <c r="C15" s="215"/>
      <c r="D15" s="215"/>
      <c r="E15" s="215"/>
      <c r="F15" s="215"/>
      <c r="G15" s="216"/>
    </row>
    <row r="16" spans="2:7" x14ac:dyDescent="0.25">
      <c r="B16" s="20"/>
      <c r="C16" s="12"/>
      <c r="D16" s="12"/>
      <c r="E16" s="12"/>
      <c r="F16" s="12"/>
      <c r="G16" s="195"/>
    </row>
    <row r="17" spans="2:16" x14ac:dyDescent="0.25">
      <c r="B17" s="196" t="s">
        <v>113</v>
      </c>
      <c r="C17" s="12"/>
      <c r="D17" s="12"/>
      <c r="E17" s="12"/>
      <c r="F17" s="12"/>
      <c r="G17" s="195"/>
    </row>
    <row r="18" spans="2:16" x14ac:dyDescent="0.25">
      <c r="B18" s="20" t="s">
        <v>29</v>
      </c>
      <c r="C18" s="59">
        <f>'Tenure Split (Mid and SW Wales)'!C112</f>
        <v>6112.6528154882299</v>
      </c>
      <c r="D18" s="59">
        <f>'Tenure Split (Mid and SW Wales)'!D112</f>
        <v>6293.1975895894948</v>
      </c>
      <c r="E18" s="59">
        <f>'Tenure Split (Mid and SW Wales)'!E112</f>
        <v>6485.7752490200419</v>
      </c>
      <c r="F18" s="59">
        <f>'Tenure Split (Mid and SW Wales)'!F112</f>
        <v>6688.211916811696</v>
      </c>
      <c r="G18" s="60">
        <f>'Tenure Split (Mid and SW Wales)'!G112</f>
        <v>6900.3382534060565</v>
      </c>
    </row>
    <row r="19" spans="2:16" x14ac:dyDescent="0.25">
      <c r="B19" s="20" t="s">
        <v>31</v>
      </c>
      <c r="C19" s="59">
        <f>C18/'Tenure Split (Mid and SW Wales)'!C108</f>
        <v>20375.509384960766</v>
      </c>
      <c r="D19" s="59">
        <f>D18/'Tenure Split (Mid and SW Wales)'!D108</f>
        <v>20977.325298631651</v>
      </c>
      <c r="E19" s="59">
        <f>E18/'Tenure Split (Mid and SW Wales)'!E108</f>
        <v>21619.250830066809</v>
      </c>
      <c r="F19" s="59">
        <f>F18/'Tenure Split (Mid and SW Wales)'!F108</f>
        <v>22294.039722705653</v>
      </c>
      <c r="G19" s="60">
        <f>G18/'Tenure Split (Mid and SW Wales)'!G108</f>
        <v>23001.127511353523</v>
      </c>
    </row>
    <row r="20" spans="2:16" x14ac:dyDescent="0.25">
      <c r="B20" s="20" t="s">
        <v>26</v>
      </c>
      <c r="C20" s="12">
        <f>IFERROR(INDEX('Income (Mid and SW Wales)'!$AB$4:$AB$84,MATCH('Workings - Mid and SW Wales'!C19,'Income (Mid and SW Wales)'!AC$4:AC$84,1)),10)</f>
        <v>37</v>
      </c>
      <c r="D20" s="12">
        <f>IFERROR(INDEX('Income (Mid and SW Wales)'!$AB$4:$AB$84,MATCH('Workings - Mid and SW Wales'!D19,'Income (Mid and SW Wales)'!AD$4:AD$84,1)),10)</f>
        <v>37</v>
      </c>
      <c r="E20" s="12">
        <f>IFERROR(INDEX('Income (Mid and SW Wales)'!$AB$4:$AB$84,MATCH('Workings - Mid and SW Wales'!E19,'Income (Mid and SW Wales)'!AE$4:AE$84,1)),10)</f>
        <v>37</v>
      </c>
      <c r="F20" s="12">
        <f>IFERROR(INDEX('Income (Mid and SW Wales)'!$AB$4:$AB$84,MATCH('Workings - Mid and SW Wales'!F19,'Income (Mid and SW Wales)'!AF$4:AF$84,1)),10)</f>
        <v>37</v>
      </c>
      <c r="G20" s="195">
        <f>IFERROR(INDEX('Income (Mid and SW Wales)'!$AB$4:$AB$84,MATCH('Workings - Mid and SW Wales'!G19,'Income (Mid and SW Wales)'!AG$4:AG$84,1)),10)</f>
        <v>37</v>
      </c>
      <c r="P20" s="13"/>
    </row>
    <row r="21" spans="2:16" x14ac:dyDescent="0.25">
      <c r="B21" s="20" t="s">
        <v>27</v>
      </c>
      <c r="C21" s="217">
        <f>(100-C20)/100</f>
        <v>0.63</v>
      </c>
      <c r="D21" s="217">
        <f t="shared" ref="D21:G21" si="1">(100-D20)/100</f>
        <v>0.63</v>
      </c>
      <c r="E21" s="217">
        <f t="shared" si="1"/>
        <v>0.63</v>
      </c>
      <c r="F21" s="217">
        <f t="shared" si="1"/>
        <v>0.63</v>
      </c>
      <c r="G21" s="218">
        <f t="shared" si="1"/>
        <v>0.63</v>
      </c>
    </row>
    <row r="22" spans="2:16" x14ac:dyDescent="0.25">
      <c r="B22" s="20" t="s">
        <v>130</v>
      </c>
      <c r="C22" s="219">
        <f>C21*C11</f>
        <v>1123.92</v>
      </c>
      <c r="D22" s="219">
        <f>D21*D11</f>
        <v>1076.67</v>
      </c>
      <c r="E22" s="219">
        <f>E21*E11</f>
        <v>1076.04</v>
      </c>
      <c r="F22" s="219">
        <f>F21*F11</f>
        <v>1151.01</v>
      </c>
      <c r="G22" s="220">
        <f>G21*G11</f>
        <v>1072.26</v>
      </c>
    </row>
    <row r="23" spans="2:16" x14ac:dyDescent="0.25">
      <c r="B23" s="20"/>
      <c r="C23" s="12"/>
      <c r="D23" s="12"/>
      <c r="E23" s="12"/>
      <c r="F23" s="12"/>
      <c r="G23" s="195"/>
    </row>
    <row r="24" spans="2:16" x14ac:dyDescent="0.25">
      <c r="B24" s="20"/>
      <c r="C24" s="219"/>
      <c r="D24" s="219"/>
      <c r="E24" s="219"/>
      <c r="F24" s="219"/>
      <c r="G24" s="220"/>
    </row>
    <row r="25" spans="2:16" x14ac:dyDescent="0.25">
      <c r="B25" s="196" t="s">
        <v>114</v>
      </c>
      <c r="C25" s="219"/>
      <c r="D25" s="219"/>
      <c r="E25" s="219"/>
      <c r="F25" s="219"/>
      <c r="G25" s="220"/>
    </row>
    <row r="26" spans="2:16" x14ac:dyDescent="0.25">
      <c r="B26" s="20" t="s">
        <v>131</v>
      </c>
      <c r="C26" s="219">
        <f>C13-C22</f>
        <v>890.67999999999984</v>
      </c>
      <c r="D26" s="219">
        <f>D13-D22</f>
        <v>862.92999999999984</v>
      </c>
      <c r="E26" s="219">
        <f t="shared" ref="E26:G26" si="2">E13-E22</f>
        <v>862.56</v>
      </c>
      <c r="F26" s="219">
        <f t="shared" si="2"/>
        <v>906.58999999999992</v>
      </c>
      <c r="G26" s="220">
        <f t="shared" si="2"/>
        <v>860.33999999999992</v>
      </c>
    </row>
    <row r="27" spans="2:16" x14ac:dyDescent="0.25">
      <c r="B27" s="20"/>
      <c r="C27" s="219"/>
      <c r="D27" s="219"/>
      <c r="E27" s="219"/>
      <c r="F27" s="219"/>
      <c r="G27" s="220"/>
    </row>
    <row r="28" spans="2:16" x14ac:dyDescent="0.25">
      <c r="B28" s="196" t="s">
        <v>240</v>
      </c>
      <c r="C28" s="12"/>
      <c r="D28" s="12"/>
      <c r="E28" s="12"/>
      <c r="F28" s="12"/>
      <c r="G28" s="195"/>
    </row>
    <row r="29" spans="2:16" x14ac:dyDescent="0.25">
      <c r="B29" s="20" t="s">
        <v>113</v>
      </c>
      <c r="C29" s="21">
        <f>C22</f>
        <v>1123.92</v>
      </c>
      <c r="D29" s="21">
        <f>D22</f>
        <v>1076.67</v>
      </c>
      <c r="E29" s="21">
        <f>E22</f>
        <v>1076.04</v>
      </c>
      <c r="F29" s="21">
        <f>F22</f>
        <v>1151.01</v>
      </c>
      <c r="G29" s="22">
        <f>G22</f>
        <v>1072.26</v>
      </c>
    </row>
    <row r="30" spans="2:16" x14ac:dyDescent="0.25">
      <c r="B30" s="23" t="s">
        <v>114</v>
      </c>
      <c r="C30" s="25">
        <f>C26</f>
        <v>890.67999999999984</v>
      </c>
      <c r="D30" s="25">
        <f>D26</f>
        <v>862.92999999999984</v>
      </c>
      <c r="E30" s="25">
        <f>E26</f>
        <v>862.56</v>
      </c>
      <c r="F30" s="25">
        <f>F26</f>
        <v>906.58999999999992</v>
      </c>
      <c r="G30" s="26">
        <f>G26</f>
        <v>860.33999999999992</v>
      </c>
    </row>
    <row r="31" spans="2:16" x14ac:dyDescent="0.25">
      <c r="C31" s="6"/>
      <c r="D31" s="6"/>
      <c r="E31" s="6"/>
      <c r="F31" s="6"/>
      <c r="G31" s="6"/>
    </row>
    <row r="32" spans="2:16" ht="18.75" x14ac:dyDescent="0.3">
      <c r="B32" s="214" t="s">
        <v>241</v>
      </c>
      <c r="C32" s="17"/>
      <c r="D32" s="17"/>
      <c r="E32" s="17"/>
      <c r="F32" s="17"/>
      <c r="G32" s="194"/>
    </row>
    <row r="33" spans="2:16" ht="21" customHeight="1" x14ac:dyDescent="0.25">
      <c r="B33" s="394" t="s">
        <v>132</v>
      </c>
      <c r="C33" s="395"/>
      <c r="D33" s="395"/>
      <c r="E33" s="395"/>
      <c r="F33" s="395"/>
      <c r="G33" s="396"/>
    </row>
    <row r="34" spans="2:16" x14ac:dyDescent="0.25">
      <c r="B34" s="20"/>
      <c r="C34" s="12"/>
      <c r="D34" s="12"/>
      <c r="E34" s="12"/>
      <c r="F34" s="12"/>
      <c r="G34" s="195"/>
    </row>
    <row r="35" spans="2:16" x14ac:dyDescent="0.25">
      <c r="B35" s="196" t="s">
        <v>25</v>
      </c>
      <c r="C35" s="12"/>
      <c r="D35" s="12"/>
      <c r="E35" s="12"/>
      <c r="F35" s="12"/>
      <c r="G35" s="195"/>
      <c r="P35" s="13"/>
    </row>
    <row r="36" spans="2:16" x14ac:dyDescent="0.25">
      <c r="B36" s="20" t="str">
        <f>"Percentile FTB Enter: "&amp;'Tenure Split (WALES)'!C115</f>
        <v>Percentile FTB Enter: 25</v>
      </c>
      <c r="C36" s="59">
        <f>INDEX('House Prices (Mid and SW Wales)'!AC$4:AC$84,MATCH('Tenure Split (Mid and SW Wales)'!C115,'House Prices (Mid and SW Wales)'!$AB$4:$AB$84,0))</f>
        <v>105411.57249254218</v>
      </c>
      <c r="D36" s="59">
        <f>INDEX('House Prices (Mid and SW Wales)'!AD$4:AD$84,MATCH('Tenure Split (Mid and SW Wales)'!D115,'House Prices (Mid and SW Wales)'!$AB$4:$AB$84,0))</f>
        <v>105646.27712914997</v>
      </c>
      <c r="E36" s="59">
        <f>INDEX('House Prices (Mid and SW Wales)'!AE$4:AE$84,MATCH('Tenure Split (Mid and SW Wales)'!E115,'House Prices (Mid and SW Wales)'!$AB$4:$AB$84,0))</f>
        <v>107920.24774667065</v>
      </c>
      <c r="F36" s="59">
        <f>INDEX('House Prices (Mid and SW Wales)'!AF$4:AF$84,MATCH('Tenure Split (Mid and SW Wales)'!F115,'House Prices (Mid and SW Wales)'!$AB$4:$AB$84,0))</f>
        <v>112129.04767537789</v>
      </c>
      <c r="G36" s="60">
        <f>INDEX('House Prices (Mid and SW Wales)'!AG$4:AG$84,MATCH('Tenure Split (Mid and SW Wales)'!G115,'House Prices (Mid and SW Wales)'!$AB$4:$AB$84,0))</f>
        <v>116780.15204019965</v>
      </c>
      <c r="P36" s="13"/>
    </row>
    <row r="37" spans="2:16" x14ac:dyDescent="0.25">
      <c r="B37" s="20" t="s">
        <v>31</v>
      </c>
      <c r="C37" s="59">
        <f>C36/'Tenure Split (Mid and SW Wales)'!C114</f>
        <v>27739.887498037417</v>
      </c>
      <c r="D37" s="59">
        <f>D36/'Tenure Split (Mid and SW Wales)'!D114</f>
        <v>27801.651876092099</v>
      </c>
      <c r="E37" s="59">
        <f>E36/'Tenure Split (Mid and SW Wales)'!E114</f>
        <v>28400.065196492276</v>
      </c>
      <c r="F37" s="59">
        <f>F36/'Tenure Split (Mid and SW Wales)'!F114</f>
        <v>29507.644125099447</v>
      </c>
      <c r="G37" s="60">
        <f>G36/'Tenure Split (Mid and SW Wales)'!G114</f>
        <v>30731.618957947278</v>
      </c>
      <c r="P37" s="13"/>
    </row>
    <row r="38" spans="2:16" x14ac:dyDescent="0.25">
      <c r="B38" s="20" t="s">
        <v>26</v>
      </c>
      <c r="C38" s="12">
        <f>IFERROR(INDEX('Income (Mid and SW Wales)'!$AB$4:$AB$84,MATCH('Workings - Mid and SW Wales'!C37,'Income (Mid and SW Wales)'!AC$4:AC$84,1)),10)</f>
        <v>53</v>
      </c>
      <c r="D38" s="12">
        <f>IFERROR(INDEX('Income (Mid and SW Wales)'!$AB$4:$AB$84,MATCH('Workings - Mid and SW Wales'!D37,'Income (Mid and SW Wales)'!AD$4:AD$84,1)),10)</f>
        <v>52</v>
      </c>
      <c r="E38" s="12">
        <f>IFERROR(INDEX('Income (Mid and SW Wales)'!$AB$4:$AB$84,MATCH('Workings - Mid and SW Wales'!E37,'Income (Mid and SW Wales)'!AE$4:AE$84,1)),10)</f>
        <v>51</v>
      </c>
      <c r="F38" s="12">
        <f>IFERROR(INDEX('Income (Mid and SW Wales)'!$AB$4:$AB$84,MATCH('Workings - Mid and SW Wales'!F37,'Income (Mid and SW Wales)'!AF$4:AF$84,1)),10)</f>
        <v>51</v>
      </c>
      <c r="G38" s="195">
        <f>IFERROR(INDEX('Income (Mid and SW Wales)'!$AB$4:$AB$84,MATCH('Workings - Mid and SW Wales'!G37,'Income (Mid and SW Wales)'!AG$4:AG$84,1)),10)</f>
        <v>51</v>
      </c>
      <c r="P38" s="13"/>
    </row>
    <row r="39" spans="2:16" x14ac:dyDescent="0.25">
      <c r="B39" s="20" t="s">
        <v>27</v>
      </c>
      <c r="C39" s="217">
        <f>(100-C38)/100</f>
        <v>0.47</v>
      </c>
      <c r="D39" s="217">
        <f t="shared" ref="D39:G39" si="3">(100-D38)/100</f>
        <v>0.48</v>
      </c>
      <c r="E39" s="217">
        <f t="shared" si="3"/>
        <v>0.49</v>
      </c>
      <c r="F39" s="217">
        <f t="shared" si="3"/>
        <v>0.49</v>
      </c>
      <c r="G39" s="218">
        <f t="shared" si="3"/>
        <v>0.49</v>
      </c>
      <c r="P39" s="13"/>
    </row>
    <row r="40" spans="2:16" x14ac:dyDescent="0.25">
      <c r="B40" s="20" t="s">
        <v>28</v>
      </c>
      <c r="C40" s="217" t="e">
        <f>C39*'Tenure Split (Mid and SW Wales)'!C116</f>
        <v>#VALUE!</v>
      </c>
      <c r="D40" s="217" t="e">
        <f>D39*'Tenure Split (Mid and SW Wales)'!D116</f>
        <v>#VALUE!</v>
      </c>
      <c r="E40" s="217" t="e">
        <f>E39*'Tenure Split (Mid and SW Wales)'!E116</f>
        <v>#VALUE!</v>
      </c>
      <c r="F40" s="217" t="e">
        <f>F39*'Tenure Split (Mid and SW Wales)'!F116</f>
        <v>#VALUE!</v>
      </c>
      <c r="G40" s="218" t="e">
        <f>G39*'Tenure Split (Mid and SW Wales)'!G116</f>
        <v>#VALUE!</v>
      </c>
      <c r="P40" s="13"/>
    </row>
    <row r="41" spans="2:16" x14ac:dyDescent="0.25">
      <c r="B41" s="20" t="s">
        <v>25</v>
      </c>
      <c r="C41" s="221" t="e">
        <f>C40*C11</f>
        <v>#VALUE!</v>
      </c>
      <c r="D41" s="221" t="e">
        <f>D40*D11</f>
        <v>#VALUE!</v>
      </c>
      <c r="E41" s="221" t="e">
        <f>E40*E11</f>
        <v>#VALUE!</v>
      </c>
      <c r="F41" s="221" t="e">
        <f>F40*F11</f>
        <v>#VALUE!</v>
      </c>
      <c r="G41" s="222" t="e">
        <f>G40*G11</f>
        <v>#VALUE!</v>
      </c>
      <c r="P41" s="13"/>
    </row>
    <row r="42" spans="2:16" x14ac:dyDescent="0.25">
      <c r="B42" s="20"/>
      <c r="C42" s="221"/>
      <c r="D42" s="221"/>
      <c r="E42" s="221"/>
      <c r="F42" s="221"/>
      <c r="G42" s="222"/>
      <c r="P42" s="13"/>
    </row>
    <row r="43" spans="2:16" x14ac:dyDescent="0.25">
      <c r="B43" s="196" t="s">
        <v>133</v>
      </c>
      <c r="C43" s="221"/>
      <c r="D43" s="221"/>
      <c r="E43" s="221"/>
      <c r="F43" s="221"/>
      <c r="G43" s="222"/>
      <c r="P43" s="13"/>
    </row>
    <row r="44" spans="2:16" x14ac:dyDescent="0.25">
      <c r="B44" s="223" t="s">
        <v>112</v>
      </c>
      <c r="C44" s="21" t="e">
        <f>C22-C41</f>
        <v>#VALUE!</v>
      </c>
      <c r="D44" s="21" t="e">
        <f>D22-D41</f>
        <v>#VALUE!</v>
      </c>
      <c r="E44" s="21" t="e">
        <f>E22-E41</f>
        <v>#VALUE!</v>
      </c>
      <c r="F44" s="21" t="e">
        <f>F22-F41</f>
        <v>#VALUE!</v>
      </c>
      <c r="G44" s="22" t="e">
        <f>G22-G41</f>
        <v>#VALUE!</v>
      </c>
      <c r="P44" s="13"/>
    </row>
    <row r="45" spans="2:16" x14ac:dyDescent="0.25">
      <c r="B45" s="20"/>
      <c r="C45" s="21"/>
      <c r="D45" s="21"/>
      <c r="E45" s="21"/>
      <c r="F45" s="21"/>
      <c r="G45" s="22"/>
    </row>
    <row r="46" spans="2:16" x14ac:dyDescent="0.25">
      <c r="B46" s="196" t="s">
        <v>32</v>
      </c>
      <c r="C46" s="12"/>
      <c r="D46" s="12"/>
      <c r="E46" s="12"/>
      <c r="F46" s="12"/>
      <c r="G46" s="195"/>
    </row>
    <row r="47" spans="2:16" x14ac:dyDescent="0.25">
      <c r="B47" s="20" t="s">
        <v>30</v>
      </c>
      <c r="C47" s="59">
        <f>'Tenure Split (Mid and SW Wales)'!C113</f>
        <v>5556.9571049892993</v>
      </c>
      <c r="D47" s="59">
        <f>'Tenure Split (Mid and SW Wales)'!D113</f>
        <v>5721.0887178086305</v>
      </c>
      <c r="E47" s="59">
        <f>'Tenure Split (Mid and SW Wales)'!E113</f>
        <v>5896.1593172909452</v>
      </c>
      <c r="F47" s="59">
        <f>'Tenure Split (Mid and SW Wales)'!F113</f>
        <v>6080.1926516469939</v>
      </c>
      <c r="G47" s="60">
        <f>'Tenure Split (Mid and SW Wales)'!G113</f>
        <v>6273.0347758236858</v>
      </c>
    </row>
    <row r="48" spans="2:16" x14ac:dyDescent="0.25">
      <c r="B48" s="20" t="s">
        <v>33</v>
      </c>
      <c r="C48" s="59">
        <f>C47/'Tenure Split (Mid and SW Wales)'!C117</f>
        <v>15877.020299969428</v>
      </c>
      <c r="D48" s="59">
        <f>D47/'Tenure Split (Mid and SW Wales)'!D117</f>
        <v>16345.967765167517</v>
      </c>
      <c r="E48" s="59">
        <f>E47/'Tenure Split (Mid and SW Wales)'!E117</f>
        <v>16846.16947797413</v>
      </c>
      <c r="F48" s="59">
        <f>F47/'Tenure Split (Mid and SW Wales)'!F117</f>
        <v>17371.979004705699</v>
      </c>
      <c r="G48" s="60">
        <f>G47/'Tenure Split (Mid and SW Wales)'!G117</f>
        <v>17922.956502353391</v>
      </c>
    </row>
    <row r="49" spans="2:7" x14ac:dyDescent="0.25">
      <c r="B49" s="20" t="s">
        <v>26</v>
      </c>
      <c r="C49" s="12">
        <f>IFERROR(INDEX('Income (Mid and SW Wales)'!$AB$4:$AB$84,MATCH('Workings - Mid and SW Wales'!C48,'Income (Mid and SW Wales)'!AC$4:AC$84,1)),10)</f>
        <v>23</v>
      </c>
      <c r="D49" s="12">
        <f>IFERROR(INDEX('Income (Mid and SW Wales)'!$AB$4:$AB$84,MATCH('Workings - Mid and SW Wales'!D48,'Income (Mid and SW Wales)'!AD$4:AD$84,1)),10)</f>
        <v>24</v>
      </c>
      <c r="E49" s="12">
        <f>IFERROR(INDEX('Income (Mid and SW Wales)'!$AB$4:$AB$84,MATCH('Workings - Mid and SW Wales'!E48,'Income (Mid and SW Wales)'!AE$4:AE$84,1)),10)</f>
        <v>24</v>
      </c>
      <c r="F49" s="12">
        <f>IFERROR(INDEX('Income (Mid and SW Wales)'!$AB$4:$AB$84,MATCH('Workings - Mid and SW Wales'!F48,'Income (Mid and SW Wales)'!AF$4:AF$84,1)),10)</f>
        <v>24</v>
      </c>
      <c r="G49" s="195">
        <f>IFERROR(INDEX('Income (Mid and SW Wales)'!$AB$4:$AB$84,MATCH('Workings - Mid and SW Wales'!G48,'Income (Mid and SW Wales)'!AG$4:AG$84,1)),10)</f>
        <v>25</v>
      </c>
    </row>
    <row r="50" spans="2:7" x14ac:dyDescent="0.25">
      <c r="B50" s="20" t="s">
        <v>34</v>
      </c>
      <c r="C50" s="217">
        <f>C49/100</f>
        <v>0.23</v>
      </c>
      <c r="D50" s="217">
        <f t="shared" ref="D50:G50" si="4">D49/100</f>
        <v>0.24</v>
      </c>
      <c r="E50" s="217">
        <f t="shared" si="4"/>
        <v>0.24</v>
      </c>
      <c r="F50" s="217">
        <f t="shared" si="4"/>
        <v>0.24</v>
      </c>
      <c r="G50" s="218">
        <f t="shared" si="4"/>
        <v>0.25</v>
      </c>
    </row>
    <row r="51" spans="2:7" x14ac:dyDescent="0.25">
      <c r="B51" s="20" t="s">
        <v>35</v>
      </c>
      <c r="C51" s="221">
        <f>C50*C11</f>
        <v>410.32</v>
      </c>
      <c r="D51" s="221">
        <f>D50*D11</f>
        <v>410.15999999999997</v>
      </c>
      <c r="E51" s="221">
        <f>E50*E11</f>
        <v>409.91999999999996</v>
      </c>
      <c r="F51" s="221">
        <f>F50*F11</f>
        <v>438.47999999999996</v>
      </c>
      <c r="G51" s="222">
        <f>G50*G11</f>
        <v>425.5</v>
      </c>
    </row>
    <row r="52" spans="2:7" x14ac:dyDescent="0.25">
      <c r="B52" s="20" t="s">
        <v>36</v>
      </c>
      <c r="C52" s="221">
        <f>C12</f>
        <v>230.6</v>
      </c>
      <c r="D52" s="221">
        <f>D12</f>
        <v>230.6</v>
      </c>
      <c r="E52" s="221">
        <f>E12</f>
        <v>230.6</v>
      </c>
      <c r="F52" s="221">
        <f>F12</f>
        <v>230.6</v>
      </c>
      <c r="G52" s="222">
        <f>G12</f>
        <v>230.6</v>
      </c>
    </row>
    <row r="53" spans="2:7" x14ac:dyDescent="0.25">
      <c r="B53" s="20" t="s">
        <v>37</v>
      </c>
      <c r="C53" s="221">
        <f>C52+C51</f>
        <v>640.91999999999996</v>
      </c>
      <c r="D53" s="221">
        <f t="shared" ref="D53:G53" si="5">D52+D51</f>
        <v>640.76</v>
      </c>
      <c r="E53" s="221">
        <f t="shared" si="5"/>
        <v>640.52</v>
      </c>
      <c r="F53" s="221">
        <f t="shared" si="5"/>
        <v>669.07999999999993</v>
      </c>
      <c r="G53" s="222">
        <f t="shared" si="5"/>
        <v>656.1</v>
      </c>
    </row>
    <row r="54" spans="2:7" x14ac:dyDescent="0.25">
      <c r="B54" s="20"/>
      <c r="C54" s="12"/>
      <c r="D54" s="12"/>
      <c r="E54" s="12"/>
      <c r="F54" s="12"/>
      <c r="G54" s="195"/>
    </row>
    <row r="55" spans="2:7" x14ac:dyDescent="0.25">
      <c r="B55" s="196" t="s">
        <v>38</v>
      </c>
      <c r="C55" s="12"/>
      <c r="D55" s="12"/>
      <c r="E55" s="12"/>
      <c r="F55" s="12"/>
      <c r="G55" s="195"/>
    </row>
    <row r="56" spans="2:7" x14ac:dyDescent="0.25">
      <c r="B56" s="224" t="s">
        <v>39</v>
      </c>
      <c r="C56" s="221" t="e">
        <f>C11-C41-C44-C51</f>
        <v>#VALUE!</v>
      </c>
      <c r="D56" s="221" t="e">
        <f>D11-D41-D44-D51</f>
        <v>#VALUE!</v>
      </c>
      <c r="E56" s="221" t="e">
        <f>E11-E41-E44-E51</f>
        <v>#VALUE!</v>
      </c>
      <c r="F56" s="221" t="e">
        <f>F11-F41-F44-F51</f>
        <v>#VALUE!</v>
      </c>
      <c r="G56" s="222" t="e">
        <f>G11-G41-G44-G51</f>
        <v>#VALUE!</v>
      </c>
    </row>
    <row r="57" spans="2:7" x14ac:dyDescent="0.25">
      <c r="B57" s="20"/>
      <c r="C57" s="12"/>
      <c r="D57" s="12"/>
      <c r="E57" s="12"/>
      <c r="F57" s="12"/>
      <c r="G57" s="195"/>
    </row>
    <row r="58" spans="2:7" x14ac:dyDescent="0.25">
      <c r="B58" s="196" t="s">
        <v>240</v>
      </c>
      <c r="C58" s="12"/>
      <c r="D58" s="12"/>
      <c r="E58" s="12"/>
      <c r="F58" s="12"/>
      <c r="G58" s="195"/>
    </row>
    <row r="59" spans="2:7" x14ac:dyDescent="0.25">
      <c r="B59" s="20" t="s">
        <v>25</v>
      </c>
      <c r="C59" s="21" t="e">
        <f>C41</f>
        <v>#VALUE!</v>
      </c>
      <c r="D59" s="21" t="e">
        <f>D41</f>
        <v>#VALUE!</v>
      </c>
      <c r="E59" s="21" t="e">
        <f>E41</f>
        <v>#VALUE!</v>
      </c>
      <c r="F59" s="21" t="e">
        <f>F41</f>
        <v>#VALUE!</v>
      </c>
      <c r="G59" s="22" t="e">
        <f>G41</f>
        <v>#VALUE!</v>
      </c>
    </row>
    <row r="60" spans="2:7" x14ac:dyDescent="0.25">
      <c r="B60" s="20" t="s">
        <v>40</v>
      </c>
      <c r="C60" s="21" t="e">
        <f>C44</f>
        <v>#VALUE!</v>
      </c>
      <c r="D60" s="21" t="e">
        <f>D44</f>
        <v>#VALUE!</v>
      </c>
      <c r="E60" s="21" t="e">
        <f>E44</f>
        <v>#VALUE!</v>
      </c>
      <c r="F60" s="21" t="e">
        <f>F44</f>
        <v>#VALUE!</v>
      </c>
      <c r="G60" s="22" t="e">
        <f>G44</f>
        <v>#VALUE!</v>
      </c>
    </row>
    <row r="61" spans="2:7" x14ac:dyDescent="0.25">
      <c r="B61" s="20" t="s">
        <v>32</v>
      </c>
      <c r="C61" s="21">
        <f>C53</f>
        <v>640.91999999999996</v>
      </c>
      <c r="D61" s="21">
        <f>D53</f>
        <v>640.76</v>
      </c>
      <c r="E61" s="21">
        <f>E53</f>
        <v>640.52</v>
      </c>
      <c r="F61" s="21">
        <f>F53</f>
        <v>669.07999999999993</v>
      </c>
      <c r="G61" s="22">
        <f>G53</f>
        <v>656.1</v>
      </c>
    </row>
    <row r="62" spans="2:7" x14ac:dyDescent="0.25">
      <c r="B62" s="23" t="s">
        <v>38</v>
      </c>
      <c r="C62" s="25" t="e">
        <f>C56</f>
        <v>#VALUE!</v>
      </c>
      <c r="D62" s="25" t="e">
        <f>D56</f>
        <v>#VALUE!</v>
      </c>
      <c r="E62" s="25" t="e">
        <f>E56</f>
        <v>#VALUE!</v>
      </c>
      <c r="F62" s="25" t="e">
        <f>F56</f>
        <v>#VALUE!</v>
      </c>
      <c r="G62" s="26" t="e">
        <f>G56</f>
        <v>#VALUE!</v>
      </c>
    </row>
  </sheetData>
  <sheetProtection sheet="1" objects="1" scenarios="1"/>
  <mergeCells count="2">
    <mergeCell ref="B3:G6"/>
    <mergeCell ref="B33:G3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P62"/>
  <sheetViews>
    <sheetView showGridLines="0" workbookViewId="0"/>
  </sheetViews>
  <sheetFormatPr defaultColWidth="9.140625" defaultRowHeight="15" x14ac:dyDescent="0.25"/>
  <cols>
    <col min="1" max="1" width="1.7109375" style="1" customWidth="1"/>
    <col min="2" max="2" width="49.5703125" style="1" bestFit="1" customWidth="1"/>
    <col min="3" max="7" width="11.5703125" style="1" bestFit="1" customWidth="1"/>
    <col min="8" max="8" width="9.140625" style="1"/>
    <col min="9" max="9" width="9.140625" style="13"/>
    <col min="10" max="16384" width="9.140625" style="1"/>
  </cols>
  <sheetData>
    <row r="1" spans="2:8" ht="18.75" x14ac:dyDescent="0.3">
      <c r="B1" s="10" t="s">
        <v>2</v>
      </c>
    </row>
    <row r="2" spans="2:8" ht="14.25" customHeight="1" x14ac:dyDescent="0.3">
      <c r="B2" s="10"/>
    </row>
    <row r="3" spans="2:8" ht="15" customHeight="1" x14ac:dyDescent="0.25">
      <c r="B3" s="397" t="s">
        <v>280</v>
      </c>
      <c r="C3" s="398"/>
      <c r="D3" s="398"/>
      <c r="E3" s="398"/>
      <c r="F3" s="398"/>
      <c r="G3" s="399"/>
    </row>
    <row r="4" spans="2:8" x14ac:dyDescent="0.25">
      <c r="B4" s="400"/>
      <c r="C4" s="401"/>
      <c r="D4" s="401"/>
      <c r="E4" s="401"/>
      <c r="F4" s="401"/>
      <c r="G4" s="402"/>
    </row>
    <row r="5" spans="2:8" x14ac:dyDescent="0.25">
      <c r="B5" s="400"/>
      <c r="C5" s="401"/>
      <c r="D5" s="401"/>
      <c r="E5" s="401"/>
      <c r="F5" s="401"/>
      <c r="G5" s="402"/>
    </row>
    <row r="6" spans="2:8" x14ac:dyDescent="0.25">
      <c r="B6" s="403"/>
      <c r="C6" s="404"/>
      <c r="D6" s="404"/>
      <c r="E6" s="404"/>
      <c r="F6" s="404"/>
      <c r="G6" s="405"/>
    </row>
    <row r="7" spans="2:8" ht="18.75" x14ac:dyDescent="0.3">
      <c r="B7" s="10"/>
    </row>
    <row r="8" spans="2:8" ht="18.75" x14ac:dyDescent="0.3">
      <c r="B8" s="214" t="s">
        <v>242</v>
      </c>
      <c r="C8" s="17"/>
      <c r="D8" s="17"/>
      <c r="E8" s="17"/>
      <c r="F8" s="17"/>
      <c r="G8" s="194"/>
    </row>
    <row r="9" spans="2:8" ht="18.75" x14ac:dyDescent="0.3">
      <c r="B9" s="270"/>
      <c r="C9" s="12">
        <v>1</v>
      </c>
      <c r="D9" s="12">
        <v>2</v>
      </c>
      <c r="E9" s="12">
        <v>3</v>
      </c>
      <c r="F9" s="37">
        <v>4</v>
      </c>
      <c r="G9" s="195">
        <v>5</v>
      </c>
    </row>
    <row r="10" spans="2:8" x14ac:dyDescent="0.25">
      <c r="B10" s="20"/>
      <c r="C10" s="228" t="s">
        <v>9</v>
      </c>
      <c r="D10" s="228" t="s">
        <v>10</v>
      </c>
      <c r="E10" s="228" t="s">
        <v>11</v>
      </c>
      <c r="F10" s="228" t="s">
        <v>12</v>
      </c>
      <c r="G10" s="229" t="s">
        <v>13</v>
      </c>
    </row>
    <row r="11" spans="2:8" x14ac:dyDescent="0.25">
      <c r="B11" s="20" t="s">
        <v>8</v>
      </c>
      <c r="C11" s="21">
        <f t="array" ref="C11">INDEX('Newly Arising Need'!D8:D31,MATCH(1,($B$1='Newly Arising Need'!$C$8:$C$31)*('Tenure Split (WALES)'!$D$6='Newly Arising Need'!$B$8:$B$31),0))</f>
        <v>4054</v>
      </c>
      <c r="D11" s="21">
        <f t="array" ref="D11">INDEX('Newly Arising Need'!E8:E31,MATCH(1,($B$1='Newly Arising Need'!$C$8:$C$31)*('Tenure Split (WALES)'!$D$6='Newly Arising Need'!$B$8:$B$31),0))</f>
        <v>3949</v>
      </c>
      <c r="E11" s="21">
        <f t="array" ref="E11">INDEX('Newly Arising Need'!F8:F31,MATCH(1,($B$1='Newly Arising Need'!$C$8:$C$31)*('Tenure Split (WALES)'!$D$6='Newly Arising Need'!$B$8:$B$31),0))</f>
        <v>4021</v>
      </c>
      <c r="F11" s="21">
        <f t="array" ref="F11">INDEX('Newly Arising Need'!G8:G31,MATCH(1,($B$1='Newly Arising Need'!$C$8:$C$31)*('Tenure Split (WALES)'!$D$6='Newly Arising Need'!$B$8:$B$31),0))</f>
        <v>4285</v>
      </c>
      <c r="G11" s="22">
        <f t="array" ref="G11">INDEX('Newly Arising Need'!H8:H31,MATCH(1,($B$1='Newly Arising Need'!$C$8:$C$31)*('Tenure Split (WALES)'!$D$6='Newly Arising Need'!$B$8:$B$31),0))</f>
        <v>4109</v>
      </c>
    </row>
    <row r="12" spans="2:8" x14ac:dyDescent="0.25">
      <c r="B12" s="20" t="s">
        <v>23</v>
      </c>
      <c r="C12" s="21">
        <f>IF('Existing Unmet Need'!$C$28&gt;='Workings - SE Wales'!C9,IF('Tenure Split (WALES)'!$D$7="WG Estimates",'Existing Unmet Need'!$C$11/'Existing Unmet Need'!$C$28,'Existing Unmet Need'!$C$20/'Existing Unmet Need'!$C$28),0)</f>
        <v>649.4</v>
      </c>
      <c r="D12" s="21">
        <f>IF('Existing Unmet Need'!$C$28&gt;='Workings - SE Wales'!D9,IF('Tenure Split (WALES)'!$D$7="WG Estimates",'Existing Unmet Need'!$C$11/'Existing Unmet Need'!$C$28,'Existing Unmet Need'!$C$20/'Existing Unmet Need'!$C$28),0)</f>
        <v>649.4</v>
      </c>
      <c r="E12" s="21">
        <f>IF('Existing Unmet Need'!$C$28&gt;='Workings - SE Wales'!E9,IF('Tenure Split (WALES)'!$D$7="WG Estimates",'Existing Unmet Need'!$C$11/'Existing Unmet Need'!$C$28,'Existing Unmet Need'!$C$20/'Existing Unmet Need'!$C$28),0)</f>
        <v>649.4</v>
      </c>
      <c r="F12" s="21">
        <f>IF('Existing Unmet Need'!$C$28&gt;='Workings - SE Wales'!F9,IF('Tenure Split (WALES)'!$D$7="WG Estimates",'Existing Unmet Need'!$C$11/'Existing Unmet Need'!$C$28,'Existing Unmet Need'!$C$20/'Existing Unmet Need'!$C$28),0)</f>
        <v>649.4</v>
      </c>
      <c r="G12" s="22">
        <f>IF('Existing Unmet Need'!$C$28&gt;='Workings - SE Wales'!G9,IF('Tenure Split (WALES)'!$D$7="WG Estimates",'Existing Unmet Need'!$C$11/'Existing Unmet Need'!$C$28,'Existing Unmet Need'!$C$20/'Existing Unmet Need'!$C$28),0)</f>
        <v>649.4</v>
      </c>
      <c r="H12" s="152"/>
    </row>
    <row r="13" spans="2:8" x14ac:dyDescent="0.25">
      <c r="B13" s="23" t="s">
        <v>24</v>
      </c>
      <c r="C13" s="230">
        <f>SUM(C11:C12)</f>
        <v>4703.3999999999996</v>
      </c>
      <c r="D13" s="230">
        <f t="shared" ref="D13:G13" si="0">SUM(D11:D12)</f>
        <v>4598.3999999999996</v>
      </c>
      <c r="E13" s="230">
        <f t="shared" si="0"/>
        <v>4670.3999999999996</v>
      </c>
      <c r="F13" s="230">
        <f t="shared" si="0"/>
        <v>4934.3999999999996</v>
      </c>
      <c r="G13" s="231">
        <f t="shared" si="0"/>
        <v>4758.3999999999996</v>
      </c>
    </row>
    <row r="14" spans="2:8" x14ac:dyDescent="0.25">
      <c r="C14" s="2"/>
      <c r="D14" s="2"/>
      <c r="E14" s="2"/>
      <c r="F14" s="2"/>
      <c r="G14" s="2"/>
    </row>
    <row r="15" spans="2:8" ht="18.75" x14ac:dyDescent="0.3">
      <c r="B15" s="214" t="s">
        <v>239</v>
      </c>
      <c r="C15" s="215"/>
      <c r="D15" s="215"/>
      <c r="E15" s="215"/>
      <c r="F15" s="215"/>
      <c r="G15" s="216"/>
    </row>
    <row r="16" spans="2:8" x14ac:dyDescent="0.25">
      <c r="B16" s="20"/>
      <c r="C16" s="12"/>
      <c r="D16" s="12"/>
      <c r="E16" s="12"/>
      <c r="F16" s="12"/>
      <c r="G16" s="195"/>
    </row>
    <row r="17" spans="2:16" x14ac:dyDescent="0.25">
      <c r="B17" s="196" t="s">
        <v>113</v>
      </c>
      <c r="C17" s="12"/>
      <c r="D17" s="12"/>
      <c r="E17" s="12"/>
      <c r="F17" s="12"/>
      <c r="G17" s="195"/>
    </row>
    <row r="18" spans="2:16" x14ac:dyDescent="0.25">
      <c r="B18" s="20" t="s">
        <v>29</v>
      </c>
      <c r="C18" s="59">
        <f>'Tenure Split (SE Wales)'!C112</f>
        <v>6791.8364616535882</v>
      </c>
      <c r="D18" s="59">
        <f>'Tenure Split (SE Wales)'!D112</f>
        <v>6992.4417662105488</v>
      </c>
      <c r="E18" s="59">
        <f>'Tenure Split (SE Wales)'!E112</f>
        <v>7206.4169433556008</v>
      </c>
      <c r="F18" s="59">
        <f>'Tenure Split (SE Wales)'!F112</f>
        <v>7431.3465742352164</v>
      </c>
      <c r="G18" s="60">
        <f>'Tenure Split (SE Wales)'!G112</f>
        <v>7667.0425037845062</v>
      </c>
    </row>
    <row r="19" spans="2:16" x14ac:dyDescent="0.25">
      <c r="B19" s="20" t="s">
        <v>31</v>
      </c>
      <c r="C19" s="59">
        <f>C18/'Tenure Split (SE Wales)'!C108</f>
        <v>22639.454872178627</v>
      </c>
      <c r="D19" s="59">
        <f>D18/'Tenure Split (SE Wales)'!D108</f>
        <v>23308.139220701829</v>
      </c>
      <c r="E19" s="59">
        <f>E18/'Tenure Split (SE Wales)'!E108</f>
        <v>24021.389811185338</v>
      </c>
      <c r="F19" s="59">
        <f>F18/'Tenure Split (SE Wales)'!F108</f>
        <v>24771.155247450723</v>
      </c>
      <c r="G19" s="60">
        <f>G18/'Tenure Split (SE Wales)'!G108</f>
        <v>25556.808345948353</v>
      </c>
    </row>
    <row r="20" spans="2:16" x14ac:dyDescent="0.25">
      <c r="B20" s="20" t="s">
        <v>26</v>
      </c>
      <c r="C20" s="12">
        <f>IFERROR(INDEX('Income (SE Wales)'!$AB$4:$AB$84,MATCH('Workings - SE Wales'!C19,'Income (SE Wales)'!AC$4:AC$84,1)),10)</f>
        <v>40</v>
      </c>
      <c r="D20" s="12">
        <f>IFERROR(INDEX('Income (SE Wales)'!$AB$4:$AB$84,MATCH('Workings - SE Wales'!D19,'Income (SE Wales)'!AD$4:AD$84,1)),10)</f>
        <v>40</v>
      </c>
      <c r="E20" s="12">
        <f>IFERROR(INDEX('Income (SE Wales)'!$AB$4:$AB$84,MATCH('Workings - SE Wales'!E19,'Income (SE Wales)'!AE$4:AE$84,1)),10)</f>
        <v>40</v>
      </c>
      <c r="F20" s="12">
        <f>IFERROR(INDEX('Income (SE Wales)'!$AB$4:$AB$84,MATCH('Workings - SE Wales'!F19,'Income (SE Wales)'!AF$4:AF$84,1)),10)</f>
        <v>40</v>
      </c>
      <c r="G20" s="195">
        <f>IFERROR(INDEX('Income (SE Wales)'!$AB$4:$AB$84,MATCH('Workings - SE Wales'!G19,'Income (SE Wales)'!AG$4:AG$84,1)),10)</f>
        <v>40</v>
      </c>
      <c r="P20" s="13"/>
    </row>
    <row r="21" spans="2:16" x14ac:dyDescent="0.25">
      <c r="B21" s="20" t="s">
        <v>27</v>
      </c>
      <c r="C21" s="217">
        <f>(100-C20)/100</f>
        <v>0.6</v>
      </c>
      <c r="D21" s="217">
        <f t="shared" ref="D21:G21" si="1">(100-D20)/100</f>
        <v>0.6</v>
      </c>
      <c r="E21" s="217">
        <f t="shared" si="1"/>
        <v>0.6</v>
      </c>
      <c r="F21" s="217">
        <f t="shared" si="1"/>
        <v>0.6</v>
      </c>
      <c r="G21" s="218">
        <f t="shared" si="1"/>
        <v>0.6</v>
      </c>
    </row>
    <row r="22" spans="2:16" x14ac:dyDescent="0.25">
      <c r="B22" s="20" t="s">
        <v>130</v>
      </c>
      <c r="C22" s="219">
        <f>C21*C11</f>
        <v>2432.4</v>
      </c>
      <c r="D22" s="219">
        <f>D21*D11</f>
        <v>2369.4</v>
      </c>
      <c r="E22" s="219">
        <f>E21*E11</f>
        <v>2412.6</v>
      </c>
      <c r="F22" s="219">
        <f>F21*F11</f>
        <v>2571</v>
      </c>
      <c r="G22" s="220">
        <f>G21*G11</f>
        <v>2465.4</v>
      </c>
    </row>
    <row r="23" spans="2:16" x14ac:dyDescent="0.25">
      <c r="B23" s="20"/>
      <c r="C23" s="12"/>
      <c r="D23" s="12"/>
      <c r="E23" s="12"/>
      <c r="F23" s="12"/>
      <c r="G23" s="195"/>
    </row>
    <row r="24" spans="2:16" x14ac:dyDescent="0.25">
      <c r="B24" s="20"/>
      <c r="C24" s="219"/>
      <c r="D24" s="219"/>
      <c r="E24" s="219"/>
      <c r="F24" s="219"/>
      <c r="G24" s="220"/>
    </row>
    <row r="25" spans="2:16" x14ac:dyDescent="0.25">
      <c r="B25" s="196" t="s">
        <v>114</v>
      </c>
      <c r="C25" s="219"/>
      <c r="D25" s="219"/>
      <c r="E25" s="219"/>
      <c r="F25" s="219"/>
      <c r="G25" s="220"/>
    </row>
    <row r="26" spans="2:16" x14ac:dyDescent="0.25">
      <c r="B26" s="20" t="s">
        <v>131</v>
      </c>
      <c r="C26" s="219">
        <f>C13-C22</f>
        <v>2270.9999999999995</v>
      </c>
      <c r="D26" s="219">
        <f>D13-D22</f>
        <v>2228.9999999999995</v>
      </c>
      <c r="E26" s="219">
        <f t="shared" ref="E26:G26" si="2">E13-E22</f>
        <v>2257.7999999999997</v>
      </c>
      <c r="F26" s="219">
        <f t="shared" si="2"/>
        <v>2363.3999999999996</v>
      </c>
      <c r="G26" s="220">
        <f t="shared" si="2"/>
        <v>2292.9999999999995</v>
      </c>
    </row>
    <row r="27" spans="2:16" x14ac:dyDescent="0.25">
      <c r="B27" s="20"/>
      <c r="C27" s="219"/>
      <c r="D27" s="219"/>
      <c r="E27" s="219"/>
      <c r="F27" s="219"/>
      <c r="G27" s="220"/>
    </row>
    <row r="28" spans="2:16" x14ac:dyDescent="0.25">
      <c r="B28" s="196" t="s">
        <v>240</v>
      </c>
      <c r="C28" s="12"/>
      <c r="D28" s="12"/>
      <c r="E28" s="12"/>
      <c r="F28" s="12"/>
      <c r="G28" s="195"/>
    </row>
    <row r="29" spans="2:16" x14ac:dyDescent="0.25">
      <c r="B29" s="20" t="s">
        <v>113</v>
      </c>
      <c r="C29" s="21">
        <f>C22</f>
        <v>2432.4</v>
      </c>
      <c r="D29" s="21">
        <f>D22</f>
        <v>2369.4</v>
      </c>
      <c r="E29" s="21">
        <f>E22</f>
        <v>2412.6</v>
      </c>
      <c r="F29" s="21">
        <f>F22</f>
        <v>2571</v>
      </c>
      <c r="G29" s="22">
        <f>G22</f>
        <v>2465.4</v>
      </c>
    </row>
    <row r="30" spans="2:16" x14ac:dyDescent="0.25">
      <c r="B30" s="23" t="s">
        <v>114</v>
      </c>
      <c r="C30" s="25">
        <f>C26</f>
        <v>2270.9999999999995</v>
      </c>
      <c r="D30" s="25">
        <f>D26</f>
        <v>2228.9999999999995</v>
      </c>
      <c r="E30" s="25">
        <f>E26</f>
        <v>2257.7999999999997</v>
      </c>
      <c r="F30" s="25">
        <f>F26</f>
        <v>2363.3999999999996</v>
      </c>
      <c r="G30" s="26">
        <f>G26</f>
        <v>2292.9999999999995</v>
      </c>
    </row>
    <row r="31" spans="2:16" x14ac:dyDescent="0.25">
      <c r="C31" s="6"/>
      <c r="D31" s="6"/>
      <c r="E31" s="6"/>
      <c r="F31" s="6"/>
      <c r="G31" s="6"/>
    </row>
    <row r="32" spans="2:16" ht="18.75" x14ac:dyDescent="0.3">
      <c r="B32" s="214" t="s">
        <v>241</v>
      </c>
      <c r="C32" s="17"/>
      <c r="D32" s="17"/>
      <c r="E32" s="17"/>
      <c r="F32" s="17"/>
      <c r="G32" s="194"/>
    </row>
    <row r="33" spans="2:16" ht="21" customHeight="1" x14ac:dyDescent="0.25">
      <c r="B33" s="394" t="s">
        <v>132</v>
      </c>
      <c r="C33" s="395"/>
      <c r="D33" s="395"/>
      <c r="E33" s="395"/>
      <c r="F33" s="395"/>
      <c r="G33" s="396"/>
    </row>
    <row r="34" spans="2:16" x14ac:dyDescent="0.25">
      <c r="B34" s="20"/>
      <c r="C34" s="12"/>
      <c r="D34" s="12"/>
      <c r="E34" s="12"/>
      <c r="F34" s="12"/>
      <c r="G34" s="195"/>
    </row>
    <row r="35" spans="2:16" x14ac:dyDescent="0.25">
      <c r="B35" s="196" t="s">
        <v>25</v>
      </c>
      <c r="C35" s="12"/>
      <c r="D35" s="12"/>
      <c r="E35" s="12"/>
      <c r="F35" s="12"/>
      <c r="G35" s="195"/>
      <c r="P35" s="13"/>
    </row>
    <row r="36" spans="2:16" x14ac:dyDescent="0.25">
      <c r="B36" s="20" t="str">
        <f>"Percentile FTB Enter: "&amp;'Tenure Split (WALES)'!C115</f>
        <v>Percentile FTB Enter: 25</v>
      </c>
      <c r="C36" s="59">
        <f>INDEX('House Prices (SE Wales)'!AC$4:AC$84,MATCH('Tenure Split (SE Wales)'!C115,'House Prices (SE Wales)'!$AB$4:$AB$84,0))</f>
        <v>109010.99204106801</v>
      </c>
      <c r="D36" s="59">
        <f>INDEX('House Prices (SE Wales)'!AD$4:AD$84,MATCH('Tenure Split (SE Wales)'!D115,'House Prices (SE Wales)'!$AB$4:$AB$84,0))</f>
        <v>109253.71098234046</v>
      </c>
      <c r="E36" s="59">
        <f>INDEX('House Prices (SE Wales)'!AE$4:AE$84,MATCH('Tenure Split (SE Wales)'!E115,'House Prices (SE Wales)'!$AB$4:$AB$84,0))</f>
        <v>111605.32937704478</v>
      </c>
      <c r="F36" s="59">
        <f>INDEX('House Prices (SE Wales)'!AF$4:AF$84,MATCH('Tenure Split (SE Wales)'!F115,'House Prices (SE Wales)'!$AB$4:$AB$84,0))</f>
        <v>115957.84442526885</v>
      </c>
      <c r="G36" s="60">
        <f>INDEX('House Prices (SE Wales)'!AG$4:AG$84,MATCH('Tenure Split (SE Wales)'!G115,'House Prices (SE Wales)'!$AB$4:$AB$84,0))</f>
        <v>120767.7669879138</v>
      </c>
      <c r="P36" s="13"/>
    </row>
    <row r="37" spans="2:16" x14ac:dyDescent="0.25">
      <c r="B37" s="20" t="s">
        <v>31</v>
      </c>
      <c r="C37" s="59">
        <f>C36/'Tenure Split (SE Wales)'!C114</f>
        <v>28687.10316870211</v>
      </c>
      <c r="D37" s="59">
        <f>D36/'Tenure Split (SE Wales)'!D114</f>
        <v>28750.976574300123</v>
      </c>
      <c r="E37" s="59">
        <f>E36/'Tenure Split (SE Wales)'!E114</f>
        <v>29369.823520274942</v>
      </c>
      <c r="F37" s="59">
        <f>F36/'Tenure Split (SE Wales)'!F114</f>
        <v>30515.222217176015</v>
      </c>
      <c r="G37" s="60">
        <f>G36/'Tenure Split (SE Wales)'!G114</f>
        <v>31780.991312608894</v>
      </c>
      <c r="P37" s="13"/>
    </row>
    <row r="38" spans="2:16" x14ac:dyDescent="0.25">
      <c r="B38" s="20" t="s">
        <v>26</v>
      </c>
      <c r="C38" s="12">
        <f>IFERROR(INDEX('Income (SE Wales)'!$AB$4:$AB$84,MATCH('Workings - SE Wales'!C37,'Income (SE Wales)'!AC$4:AC$84,1)),10)</f>
        <v>52</v>
      </c>
      <c r="D38" s="12">
        <f>IFERROR(INDEX('Income (SE Wales)'!$AB$4:$AB$84,MATCH('Workings - SE Wales'!D37,'Income (SE Wales)'!AD$4:AD$84,1)),10)</f>
        <v>51</v>
      </c>
      <c r="E38" s="12">
        <f>IFERROR(INDEX('Income (SE Wales)'!$AB$4:$AB$84,MATCH('Workings - SE Wales'!E37,'Income (SE Wales)'!AE$4:AE$84,1)),10)</f>
        <v>50</v>
      </c>
      <c r="F38" s="12">
        <f>IFERROR(INDEX('Income (SE Wales)'!$AB$4:$AB$84,MATCH('Workings - SE Wales'!F37,'Income (SE Wales)'!AF$4:AF$84,1)),10)</f>
        <v>51</v>
      </c>
      <c r="G38" s="195">
        <f>IFERROR(INDEX('Income (SE Wales)'!$AB$4:$AB$84,MATCH('Workings - SE Wales'!G37,'Income (SE Wales)'!AG$4:AG$84,1)),10)</f>
        <v>51</v>
      </c>
      <c r="P38" s="13"/>
    </row>
    <row r="39" spans="2:16" x14ac:dyDescent="0.25">
      <c r="B39" s="20" t="s">
        <v>27</v>
      </c>
      <c r="C39" s="217">
        <f>(100-C38)/100</f>
        <v>0.48</v>
      </c>
      <c r="D39" s="217">
        <f t="shared" ref="D39:G39" si="3">(100-D38)/100</f>
        <v>0.49</v>
      </c>
      <c r="E39" s="217">
        <f t="shared" si="3"/>
        <v>0.5</v>
      </c>
      <c r="F39" s="217">
        <f t="shared" si="3"/>
        <v>0.49</v>
      </c>
      <c r="G39" s="218">
        <f t="shared" si="3"/>
        <v>0.49</v>
      </c>
      <c r="P39" s="13"/>
    </row>
    <row r="40" spans="2:16" x14ac:dyDescent="0.25">
      <c r="B40" s="20" t="s">
        <v>28</v>
      </c>
      <c r="C40" s="217" t="e">
        <f>C39*'Tenure Split (SE Wales)'!C116</f>
        <v>#VALUE!</v>
      </c>
      <c r="D40" s="217" t="e">
        <f>D39*'Tenure Split (SE Wales)'!D116</f>
        <v>#VALUE!</v>
      </c>
      <c r="E40" s="217" t="e">
        <f>E39*'Tenure Split (SE Wales)'!E116</f>
        <v>#VALUE!</v>
      </c>
      <c r="F40" s="217" t="e">
        <f>F39*'Tenure Split (SE Wales)'!F116</f>
        <v>#VALUE!</v>
      </c>
      <c r="G40" s="218" t="e">
        <f>G39*'Tenure Split (SE Wales)'!G116</f>
        <v>#VALUE!</v>
      </c>
      <c r="P40" s="13"/>
    </row>
    <row r="41" spans="2:16" x14ac:dyDescent="0.25">
      <c r="B41" s="20" t="s">
        <v>25</v>
      </c>
      <c r="C41" s="221" t="e">
        <f>C40*C11</f>
        <v>#VALUE!</v>
      </c>
      <c r="D41" s="221" t="e">
        <f>D40*D11</f>
        <v>#VALUE!</v>
      </c>
      <c r="E41" s="221" t="e">
        <f>E40*E11</f>
        <v>#VALUE!</v>
      </c>
      <c r="F41" s="221" t="e">
        <f>F40*F11</f>
        <v>#VALUE!</v>
      </c>
      <c r="G41" s="222" t="e">
        <f>G40*G11</f>
        <v>#VALUE!</v>
      </c>
      <c r="P41" s="13"/>
    </row>
    <row r="42" spans="2:16" x14ac:dyDescent="0.25">
      <c r="B42" s="20"/>
      <c r="C42" s="221"/>
      <c r="D42" s="221"/>
      <c r="E42" s="221"/>
      <c r="F42" s="221"/>
      <c r="G42" s="222"/>
      <c r="P42" s="13"/>
    </row>
    <row r="43" spans="2:16" x14ac:dyDescent="0.25">
      <c r="B43" s="196" t="s">
        <v>133</v>
      </c>
      <c r="C43" s="221"/>
      <c r="D43" s="221"/>
      <c r="E43" s="221"/>
      <c r="F43" s="221"/>
      <c r="G43" s="222"/>
      <c r="P43" s="13"/>
    </row>
    <row r="44" spans="2:16" x14ac:dyDescent="0.25">
      <c r="B44" s="223" t="s">
        <v>112</v>
      </c>
      <c r="C44" s="21" t="e">
        <f>C22-C41</f>
        <v>#VALUE!</v>
      </c>
      <c r="D44" s="21" t="e">
        <f>D22-D41</f>
        <v>#VALUE!</v>
      </c>
      <c r="E44" s="21" t="e">
        <f>E22-E41</f>
        <v>#VALUE!</v>
      </c>
      <c r="F44" s="21" t="e">
        <f>F22-F41</f>
        <v>#VALUE!</v>
      </c>
      <c r="G44" s="22" t="e">
        <f>G22-G41</f>
        <v>#VALUE!</v>
      </c>
      <c r="P44" s="13"/>
    </row>
    <row r="45" spans="2:16" x14ac:dyDescent="0.25">
      <c r="B45" s="20"/>
      <c r="C45" s="21"/>
      <c r="D45" s="21"/>
      <c r="E45" s="21"/>
      <c r="F45" s="21"/>
      <c r="G45" s="22"/>
    </row>
    <row r="46" spans="2:16" x14ac:dyDescent="0.25">
      <c r="B46" s="196" t="s">
        <v>32</v>
      </c>
      <c r="C46" s="12"/>
      <c r="D46" s="12"/>
      <c r="E46" s="12"/>
      <c r="F46" s="12"/>
      <c r="G46" s="195"/>
    </row>
    <row r="47" spans="2:16" x14ac:dyDescent="0.25">
      <c r="B47" s="20" t="s">
        <v>30</v>
      </c>
      <c r="C47" s="59">
        <f>'Tenure Split (SE Wales)'!C113</f>
        <v>5865.9239200267048</v>
      </c>
      <c r="D47" s="59">
        <f>'Tenure Split (SE Wales)'!D113</f>
        <v>6039.1812505187909</v>
      </c>
      <c r="E47" s="59">
        <f>'Tenure Split (SE Wales)'!E113</f>
        <v>6223.9857753323231</v>
      </c>
      <c r="F47" s="59">
        <f>'Tenure Split (SE Wales)'!F113</f>
        <v>6418.2513630785688</v>
      </c>
      <c r="G47" s="60">
        <f>'Tenure Split (SE Wales)'!G113</f>
        <v>6621.8155093594842</v>
      </c>
    </row>
    <row r="48" spans="2:16" x14ac:dyDescent="0.25">
      <c r="B48" s="20" t="s">
        <v>33</v>
      </c>
      <c r="C48" s="59">
        <f>C47/'Tenure Split (SE Wales)'!C117</f>
        <v>16759.782628647728</v>
      </c>
      <c r="D48" s="59">
        <f>D47/'Tenure Split (SE Wales)'!D117</f>
        <v>17254.803572910831</v>
      </c>
      <c r="E48" s="59">
        <f>E47/'Tenure Split (SE Wales)'!E117</f>
        <v>17782.816500949495</v>
      </c>
      <c r="F48" s="59">
        <f>F47/'Tenure Split (SE Wales)'!F117</f>
        <v>18337.86103736734</v>
      </c>
      <c r="G48" s="60">
        <f>G47/'Tenure Split (SE Wales)'!G117</f>
        <v>18919.472883884242</v>
      </c>
    </row>
    <row r="49" spans="2:7" x14ac:dyDescent="0.25">
      <c r="B49" s="20" t="s">
        <v>26</v>
      </c>
      <c r="C49" s="12">
        <f>IFERROR(INDEX('Income (SE Wales)'!$AB$4:$AB$84,MATCH('Workings - SE Wales'!C48,'Income (SE Wales)'!AC$4:AC$84,1)),10)</f>
        <v>26</v>
      </c>
      <c r="D49" s="12">
        <f>IFERROR(INDEX('Income (SE Wales)'!$AB$4:$AB$84,MATCH('Workings - SE Wales'!D48,'Income (SE Wales)'!AD$4:AD$84,1)),10)</f>
        <v>26</v>
      </c>
      <c r="E49" s="12">
        <f>IFERROR(INDEX('Income (SE Wales)'!$AB$4:$AB$84,MATCH('Workings - SE Wales'!E48,'Income (SE Wales)'!AE$4:AE$84,1)),10)</f>
        <v>27</v>
      </c>
      <c r="F49" s="12">
        <f>IFERROR(INDEX('Income (SE Wales)'!$AB$4:$AB$84,MATCH('Workings - SE Wales'!F48,'Income (SE Wales)'!AF$4:AF$84,1)),10)</f>
        <v>27</v>
      </c>
      <c r="G49" s="195">
        <f>IFERROR(INDEX('Income (SE Wales)'!$AB$4:$AB$84,MATCH('Workings - SE Wales'!G48,'Income (SE Wales)'!AG$4:AG$84,1)),10)</f>
        <v>27</v>
      </c>
    </row>
    <row r="50" spans="2:7" x14ac:dyDescent="0.25">
      <c r="B50" s="20" t="s">
        <v>34</v>
      </c>
      <c r="C50" s="217">
        <f>C49/100</f>
        <v>0.26</v>
      </c>
      <c r="D50" s="217">
        <f t="shared" ref="D50:G50" si="4">D49/100</f>
        <v>0.26</v>
      </c>
      <c r="E50" s="217">
        <f t="shared" si="4"/>
        <v>0.27</v>
      </c>
      <c r="F50" s="217">
        <f t="shared" si="4"/>
        <v>0.27</v>
      </c>
      <c r="G50" s="218">
        <f t="shared" si="4"/>
        <v>0.27</v>
      </c>
    </row>
    <row r="51" spans="2:7" x14ac:dyDescent="0.25">
      <c r="B51" s="20" t="s">
        <v>35</v>
      </c>
      <c r="C51" s="221">
        <f>C50*C11</f>
        <v>1054.04</v>
      </c>
      <c r="D51" s="221">
        <f>D50*D11</f>
        <v>1026.74</v>
      </c>
      <c r="E51" s="221">
        <f>E50*E11</f>
        <v>1085.67</v>
      </c>
      <c r="F51" s="221">
        <f>F50*F11</f>
        <v>1156.95</v>
      </c>
      <c r="G51" s="222">
        <f>G50*G11</f>
        <v>1109.43</v>
      </c>
    </row>
    <row r="52" spans="2:7" x14ac:dyDescent="0.25">
      <c r="B52" s="20" t="s">
        <v>36</v>
      </c>
      <c r="C52" s="221">
        <f>C12</f>
        <v>649.4</v>
      </c>
      <c r="D52" s="221">
        <f>D12</f>
        <v>649.4</v>
      </c>
      <c r="E52" s="221">
        <f>E12</f>
        <v>649.4</v>
      </c>
      <c r="F52" s="221">
        <f>F12</f>
        <v>649.4</v>
      </c>
      <c r="G52" s="222">
        <f>G12</f>
        <v>649.4</v>
      </c>
    </row>
    <row r="53" spans="2:7" x14ac:dyDescent="0.25">
      <c r="B53" s="20" t="s">
        <v>37</v>
      </c>
      <c r="C53" s="221">
        <f>C52+C51</f>
        <v>1703.44</v>
      </c>
      <c r="D53" s="221">
        <f t="shared" ref="D53:G53" si="5">D52+D51</f>
        <v>1676.1399999999999</v>
      </c>
      <c r="E53" s="221">
        <f t="shared" si="5"/>
        <v>1735.0700000000002</v>
      </c>
      <c r="F53" s="221">
        <f t="shared" si="5"/>
        <v>1806.35</v>
      </c>
      <c r="G53" s="222">
        <f t="shared" si="5"/>
        <v>1758.83</v>
      </c>
    </row>
    <row r="54" spans="2:7" x14ac:dyDescent="0.25">
      <c r="B54" s="20"/>
      <c r="C54" s="12"/>
      <c r="D54" s="12"/>
      <c r="E54" s="12"/>
      <c r="F54" s="12"/>
      <c r="G54" s="195"/>
    </row>
    <row r="55" spans="2:7" x14ac:dyDescent="0.25">
      <c r="B55" s="196" t="s">
        <v>38</v>
      </c>
      <c r="C55" s="12"/>
      <c r="D55" s="12"/>
      <c r="E55" s="12"/>
      <c r="F55" s="12"/>
      <c r="G55" s="195"/>
    </row>
    <row r="56" spans="2:7" x14ac:dyDescent="0.25">
      <c r="B56" s="224" t="s">
        <v>39</v>
      </c>
      <c r="C56" s="221" t="e">
        <f>C11-C41-C44-C51</f>
        <v>#VALUE!</v>
      </c>
      <c r="D56" s="221" t="e">
        <f>D11-D41-D44-D51</f>
        <v>#VALUE!</v>
      </c>
      <c r="E56" s="221" t="e">
        <f>E11-E41-E44-E51</f>
        <v>#VALUE!</v>
      </c>
      <c r="F56" s="221" t="e">
        <f>F11-F41-F44-F51</f>
        <v>#VALUE!</v>
      </c>
      <c r="G56" s="222" t="e">
        <f>G11-G41-G44-G51</f>
        <v>#VALUE!</v>
      </c>
    </row>
    <row r="57" spans="2:7" x14ac:dyDescent="0.25">
      <c r="B57" s="20"/>
      <c r="C57" s="12"/>
      <c r="D57" s="12"/>
      <c r="E57" s="12"/>
      <c r="F57" s="12"/>
      <c r="G57" s="195"/>
    </row>
    <row r="58" spans="2:7" x14ac:dyDescent="0.25">
      <c r="B58" s="196" t="s">
        <v>240</v>
      </c>
      <c r="C58" s="12"/>
      <c r="D58" s="12"/>
      <c r="E58" s="12"/>
      <c r="F58" s="12"/>
      <c r="G58" s="195"/>
    </row>
    <row r="59" spans="2:7" x14ac:dyDescent="0.25">
      <c r="B59" s="20" t="s">
        <v>25</v>
      </c>
      <c r="C59" s="21" t="e">
        <f>C41</f>
        <v>#VALUE!</v>
      </c>
      <c r="D59" s="21" t="e">
        <f>D41</f>
        <v>#VALUE!</v>
      </c>
      <c r="E59" s="21" t="e">
        <f>E41</f>
        <v>#VALUE!</v>
      </c>
      <c r="F59" s="21" t="e">
        <f>F41</f>
        <v>#VALUE!</v>
      </c>
      <c r="G59" s="22" t="e">
        <f>G41</f>
        <v>#VALUE!</v>
      </c>
    </row>
    <row r="60" spans="2:7" x14ac:dyDescent="0.25">
      <c r="B60" s="20" t="s">
        <v>40</v>
      </c>
      <c r="C60" s="21" t="e">
        <f>C44</f>
        <v>#VALUE!</v>
      </c>
      <c r="D60" s="21" t="e">
        <f>D44</f>
        <v>#VALUE!</v>
      </c>
      <c r="E60" s="21" t="e">
        <f>E44</f>
        <v>#VALUE!</v>
      </c>
      <c r="F60" s="21" t="e">
        <f>F44</f>
        <v>#VALUE!</v>
      </c>
      <c r="G60" s="22" t="e">
        <f>G44</f>
        <v>#VALUE!</v>
      </c>
    </row>
    <row r="61" spans="2:7" x14ac:dyDescent="0.25">
      <c r="B61" s="20" t="s">
        <v>32</v>
      </c>
      <c r="C61" s="21">
        <f>C53</f>
        <v>1703.44</v>
      </c>
      <c r="D61" s="21">
        <f>D53</f>
        <v>1676.1399999999999</v>
      </c>
      <c r="E61" s="21">
        <f>E53</f>
        <v>1735.0700000000002</v>
      </c>
      <c r="F61" s="21">
        <f>F53</f>
        <v>1806.35</v>
      </c>
      <c r="G61" s="22">
        <f>G53</f>
        <v>1758.83</v>
      </c>
    </row>
    <row r="62" spans="2:7" x14ac:dyDescent="0.25">
      <c r="B62" s="23" t="s">
        <v>38</v>
      </c>
      <c r="C62" s="25" t="e">
        <f>C56</f>
        <v>#VALUE!</v>
      </c>
      <c r="D62" s="25" t="e">
        <f>D56</f>
        <v>#VALUE!</v>
      </c>
      <c r="E62" s="25" t="e">
        <f>E56</f>
        <v>#VALUE!</v>
      </c>
      <c r="F62" s="25" t="e">
        <f>F56</f>
        <v>#VALUE!</v>
      </c>
      <c r="G62" s="26" t="e">
        <f>G56</f>
        <v>#VALUE!</v>
      </c>
    </row>
  </sheetData>
  <sheetProtection sheet="1" objects="1" scenarios="1"/>
  <mergeCells count="2">
    <mergeCell ref="B3:G6"/>
    <mergeCell ref="B33:G33"/>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2"/>
  <sheetViews>
    <sheetView showGridLines="0" zoomScale="90" zoomScaleNormal="90" workbookViewId="0"/>
  </sheetViews>
  <sheetFormatPr defaultRowHeight="15" x14ac:dyDescent="0.25"/>
  <cols>
    <col min="1" max="1" width="2.85546875" style="1" customWidth="1"/>
    <col min="2" max="3" width="29.85546875" bestFit="1" customWidth="1"/>
    <col min="4" max="8" width="13.28515625" bestFit="1" customWidth="1"/>
    <col min="9" max="9" width="13.28515625" customWidth="1"/>
    <col min="10" max="10" width="9.140625" hidden="1" customWidth="1"/>
  </cols>
  <sheetData>
    <row r="2" spans="2:10" s="3" customFormat="1" x14ac:dyDescent="0.25">
      <c r="B2" s="27" t="s">
        <v>52</v>
      </c>
      <c r="C2" s="28" t="s">
        <v>70</v>
      </c>
      <c r="D2" s="29">
        <v>2018</v>
      </c>
      <c r="E2" s="29">
        <v>2019</v>
      </c>
      <c r="F2" s="29">
        <v>2020</v>
      </c>
      <c r="G2" s="29">
        <v>2021</v>
      </c>
      <c r="H2" s="29">
        <v>2022</v>
      </c>
      <c r="I2" s="30">
        <v>2023</v>
      </c>
    </row>
    <row r="3" spans="2:10" x14ac:dyDescent="0.25">
      <c r="B3" s="16" t="s">
        <v>14</v>
      </c>
      <c r="C3" s="17" t="s">
        <v>0</v>
      </c>
      <c r="D3" s="18">
        <v>305707</v>
      </c>
      <c r="E3" s="18">
        <v>307088</v>
      </c>
      <c r="F3" s="18">
        <v>308395</v>
      </c>
      <c r="G3" s="18">
        <v>309695</v>
      </c>
      <c r="H3" s="18">
        <v>311079</v>
      </c>
      <c r="I3" s="19">
        <v>312386</v>
      </c>
    </row>
    <row r="4" spans="2:10" x14ac:dyDescent="0.25">
      <c r="B4" s="20" t="s">
        <v>14</v>
      </c>
      <c r="C4" s="12" t="s">
        <v>1</v>
      </c>
      <c r="D4" s="21">
        <v>398237</v>
      </c>
      <c r="E4" s="21">
        <v>400021</v>
      </c>
      <c r="F4" s="21">
        <v>401730</v>
      </c>
      <c r="G4" s="21">
        <v>403438</v>
      </c>
      <c r="H4" s="21">
        <v>405265</v>
      </c>
      <c r="I4" s="22">
        <v>406967</v>
      </c>
    </row>
    <row r="5" spans="2:10" x14ac:dyDescent="0.25">
      <c r="B5" s="20" t="s">
        <v>14</v>
      </c>
      <c r="C5" s="12" t="s">
        <v>2</v>
      </c>
      <c r="D5" s="21">
        <v>650496</v>
      </c>
      <c r="E5" s="21">
        <v>654550</v>
      </c>
      <c r="F5" s="21">
        <v>658499</v>
      </c>
      <c r="G5" s="21">
        <v>662520</v>
      </c>
      <c r="H5" s="21">
        <v>666805</v>
      </c>
      <c r="I5" s="22">
        <v>670914</v>
      </c>
    </row>
    <row r="6" spans="2:10" x14ac:dyDescent="0.25">
      <c r="B6" s="23" t="s">
        <v>14</v>
      </c>
      <c r="C6" s="24" t="s">
        <v>3</v>
      </c>
      <c r="D6" s="25">
        <f>SUM(D3:D5)</f>
        <v>1354440</v>
      </c>
      <c r="E6" s="25">
        <f t="shared" ref="E6:J6" si="0">SUM(E3:E5)</f>
        <v>1361659</v>
      </c>
      <c r="F6" s="25">
        <f t="shared" si="0"/>
        <v>1368624</v>
      </c>
      <c r="G6" s="25">
        <f t="shared" si="0"/>
        <v>1375653</v>
      </c>
      <c r="H6" s="25">
        <f t="shared" si="0"/>
        <v>1383149</v>
      </c>
      <c r="I6" s="26">
        <f>SUM(I3:I5)</f>
        <v>1390267</v>
      </c>
      <c r="J6" s="25">
        <f t="shared" si="0"/>
        <v>0</v>
      </c>
    </row>
    <row r="7" spans="2:10" x14ac:dyDescent="0.25">
      <c r="B7" s="16" t="s">
        <v>71</v>
      </c>
      <c r="C7" s="17" t="s">
        <v>0</v>
      </c>
      <c r="D7" s="18">
        <v>306032</v>
      </c>
      <c r="E7" s="18">
        <v>307554</v>
      </c>
      <c r="F7" s="18">
        <v>309021</v>
      </c>
      <c r="G7" s="18">
        <v>310503</v>
      </c>
      <c r="H7" s="18">
        <v>312087</v>
      </c>
      <c r="I7" s="19">
        <v>313621</v>
      </c>
    </row>
    <row r="8" spans="2:10" x14ac:dyDescent="0.25">
      <c r="B8" s="20" t="s">
        <v>71</v>
      </c>
      <c r="C8" s="12" t="s">
        <v>1</v>
      </c>
      <c r="D8" s="21">
        <v>398640</v>
      </c>
      <c r="E8" s="21">
        <v>400599</v>
      </c>
      <c r="F8" s="21">
        <v>402507</v>
      </c>
      <c r="G8" s="21">
        <v>404439</v>
      </c>
      <c r="H8" s="21">
        <v>406517</v>
      </c>
      <c r="I8" s="22">
        <v>408502</v>
      </c>
    </row>
    <row r="9" spans="2:10" x14ac:dyDescent="0.25">
      <c r="B9" s="20" t="s">
        <v>71</v>
      </c>
      <c r="C9" s="12" t="s">
        <v>2</v>
      </c>
      <c r="D9" s="21">
        <v>651222</v>
      </c>
      <c r="E9" s="21">
        <v>655591</v>
      </c>
      <c r="F9" s="21">
        <v>659894</v>
      </c>
      <c r="G9" s="21">
        <v>664314</v>
      </c>
      <c r="H9" s="21">
        <v>669040</v>
      </c>
      <c r="I9" s="22">
        <v>673646</v>
      </c>
    </row>
    <row r="10" spans="2:10" x14ac:dyDescent="0.25">
      <c r="B10" s="23" t="s">
        <v>71</v>
      </c>
      <c r="C10" s="24" t="s">
        <v>3</v>
      </c>
      <c r="D10" s="25">
        <f>SUM(D7:D9)</f>
        <v>1355894</v>
      </c>
      <c r="E10" s="25">
        <f t="shared" ref="E10:I10" si="1">SUM(E7:E9)</f>
        <v>1363744</v>
      </c>
      <c r="F10" s="25">
        <f t="shared" si="1"/>
        <v>1371422</v>
      </c>
      <c r="G10" s="25">
        <f t="shared" si="1"/>
        <v>1379256</v>
      </c>
      <c r="H10" s="25">
        <f t="shared" si="1"/>
        <v>1387644</v>
      </c>
      <c r="I10" s="26">
        <f t="shared" si="1"/>
        <v>1395769</v>
      </c>
    </row>
    <row r="11" spans="2:10" x14ac:dyDescent="0.25">
      <c r="B11" s="16" t="s">
        <v>72</v>
      </c>
      <c r="C11" s="17" t="s">
        <v>0</v>
      </c>
      <c r="D11" s="18">
        <v>305093</v>
      </c>
      <c r="E11" s="18">
        <v>306215</v>
      </c>
      <c r="F11" s="18">
        <v>307233</v>
      </c>
      <c r="G11" s="18">
        <v>308213</v>
      </c>
      <c r="H11" s="18">
        <v>309241</v>
      </c>
      <c r="I11" s="19">
        <v>310165</v>
      </c>
    </row>
    <row r="12" spans="2:10" x14ac:dyDescent="0.25">
      <c r="B12" s="20" t="s">
        <v>72</v>
      </c>
      <c r="C12" s="12" t="s">
        <v>1</v>
      </c>
      <c r="D12" s="21">
        <v>397459</v>
      </c>
      <c r="E12" s="21">
        <v>398919</v>
      </c>
      <c r="F12" s="21">
        <v>400267</v>
      </c>
      <c r="G12" s="21">
        <v>401573</v>
      </c>
      <c r="H12" s="21">
        <v>402957</v>
      </c>
      <c r="I12" s="22">
        <v>404179</v>
      </c>
    </row>
    <row r="13" spans="2:10" x14ac:dyDescent="0.25">
      <c r="B13" s="20" t="s">
        <v>72</v>
      </c>
      <c r="C13" s="12" t="s">
        <v>2</v>
      </c>
      <c r="D13" s="21">
        <v>649200</v>
      </c>
      <c r="E13" s="21">
        <v>652689</v>
      </c>
      <c r="F13" s="21">
        <v>655994</v>
      </c>
      <c r="G13" s="21">
        <v>659295</v>
      </c>
      <c r="H13" s="21">
        <v>662778</v>
      </c>
      <c r="I13" s="22">
        <v>666021</v>
      </c>
    </row>
    <row r="14" spans="2:10" x14ac:dyDescent="0.25">
      <c r="B14" s="23" t="s">
        <v>72</v>
      </c>
      <c r="C14" s="24" t="s">
        <v>3</v>
      </c>
      <c r="D14" s="25">
        <f>SUM(D11:D13)</f>
        <v>1351752</v>
      </c>
      <c r="E14" s="25">
        <f t="shared" ref="E14:I14" si="2">SUM(E11:E13)</f>
        <v>1357823</v>
      </c>
      <c r="F14" s="25">
        <f t="shared" si="2"/>
        <v>1363494</v>
      </c>
      <c r="G14" s="25">
        <f t="shared" si="2"/>
        <v>1369081</v>
      </c>
      <c r="H14" s="25">
        <f t="shared" si="2"/>
        <v>1374976</v>
      </c>
      <c r="I14" s="26">
        <f t="shared" si="2"/>
        <v>1380365</v>
      </c>
    </row>
    <row r="15" spans="2:10" x14ac:dyDescent="0.25">
      <c r="B15" s="16" t="s">
        <v>15</v>
      </c>
      <c r="C15" s="17" t="s">
        <v>0</v>
      </c>
      <c r="D15" s="18">
        <v>303428</v>
      </c>
      <c r="E15" s="18">
        <v>304268</v>
      </c>
      <c r="F15" s="18">
        <v>305027</v>
      </c>
      <c r="G15" s="18">
        <v>305758</v>
      </c>
      <c r="H15" s="18">
        <v>306579</v>
      </c>
      <c r="I15" s="19">
        <v>307317</v>
      </c>
    </row>
    <row r="16" spans="2:10" x14ac:dyDescent="0.25">
      <c r="B16" s="20" t="s">
        <v>15</v>
      </c>
      <c r="C16" s="12" t="s">
        <v>1</v>
      </c>
      <c r="D16" s="21">
        <v>395759</v>
      </c>
      <c r="E16" s="21">
        <v>397088</v>
      </c>
      <c r="F16" s="21">
        <v>398257</v>
      </c>
      <c r="G16" s="21">
        <v>399254</v>
      </c>
      <c r="H16" s="21">
        <v>400348</v>
      </c>
      <c r="I16" s="22">
        <v>401328</v>
      </c>
    </row>
    <row r="17" spans="2:14" x14ac:dyDescent="0.25">
      <c r="B17" s="20" t="s">
        <v>15</v>
      </c>
      <c r="C17" s="12" t="s">
        <v>2</v>
      </c>
      <c r="D17" s="21">
        <v>649770</v>
      </c>
      <c r="E17" s="21">
        <v>653740</v>
      </c>
      <c r="F17" s="21">
        <v>657393</v>
      </c>
      <c r="G17" s="21">
        <v>660845</v>
      </c>
      <c r="H17" s="21">
        <v>664495</v>
      </c>
      <c r="I17" s="22">
        <v>667946</v>
      </c>
    </row>
    <row r="18" spans="2:14" x14ac:dyDescent="0.25">
      <c r="B18" s="23" t="s">
        <v>15</v>
      </c>
      <c r="C18" s="24" t="s">
        <v>3</v>
      </c>
      <c r="D18" s="25">
        <f>SUM(D15:D17)</f>
        <v>1348957</v>
      </c>
      <c r="E18" s="25">
        <f t="shared" ref="E18:I18" si="3">SUM(E15:E17)</f>
        <v>1355096</v>
      </c>
      <c r="F18" s="25">
        <f t="shared" si="3"/>
        <v>1360677</v>
      </c>
      <c r="G18" s="25">
        <f t="shared" si="3"/>
        <v>1365857</v>
      </c>
      <c r="H18" s="25">
        <f t="shared" si="3"/>
        <v>1371422</v>
      </c>
      <c r="I18" s="26">
        <f t="shared" si="3"/>
        <v>1376591</v>
      </c>
    </row>
    <row r="19" spans="2:14" x14ac:dyDescent="0.25">
      <c r="B19" s="16" t="s">
        <v>73</v>
      </c>
      <c r="C19" s="17" t="s">
        <v>0</v>
      </c>
      <c r="D19" s="18">
        <v>306606</v>
      </c>
      <c r="E19" s="18">
        <v>308231</v>
      </c>
      <c r="F19" s="18">
        <v>309789</v>
      </c>
      <c r="G19" s="18">
        <v>311343</v>
      </c>
      <c r="H19" s="18">
        <v>312987</v>
      </c>
      <c r="I19" s="19">
        <v>314560</v>
      </c>
    </row>
    <row r="20" spans="2:14" x14ac:dyDescent="0.25">
      <c r="B20" s="20" t="s">
        <v>73</v>
      </c>
      <c r="C20" s="12" t="s">
        <v>1</v>
      </c>
      <c r="D20" s="21">
        <v>400118</v>
      </c>
      <c r="E20" s="21">
        <v>402399</v>
      </c>
      <c r="F20" s="21">
        <v>404608</v>
      </c>
      <c r="G20" s="21">
        <v>406816</v>
      </c>
      <c r="H20" s="21">
        <v>409149</v>
      </c>
      <c r="I20" s="22">
        <v>411365</v>
      </c>
    </row>
    <row r="21" spans="2:14" x14ac:dyDescent="0.25">
      <c r="B21" s="20" t="s">
        <v>73</v>
      </c>
      <c r="C21" s="12" t="s">
        <v>2</v>
      </c>
      <c r="D21" s="21">
        <v>652627</v>
      </c>
      <c r="E21" s="21">
        <v>657268</v>
      </c>
      <c r="F21" s="21">
        <v>661818</v>
      </c>
      <c r="G21" s="21">
        <v>666449</v>
      </c>
      <c r="H21" s="21">
        <v>671357</v>
      </c>
      <c r="I21" s="22">
        <v>676106</v>
      </c>
    </row>
    <row r="22" spans="2:14" x14ac:dyDescent="0.25">
      <c r="B22" s="20" t="s">
        <v>73</v>
      </c>
      <c r="C22" s="12" t="s">
        <v>3</v>
      </c>
      <c r="D22" s="21">
        <f>SUM(D19:D21)</f>
        <v>1359351</v>
      </c>
      <c r="E22" s="21">
        <f t="shared" ref="E22:I22" si="4">SUM(E19:E21)</f>
        <v>1367898</v>
      </c>
      <c r="F22" s="21">
        <f t="shared" si="4"/>
        <v>1376215</v>
      </c>
      <c r="G22" s="21">
        <f t="shared" si="4"/>
        <v>1384608</v>
      </c>
      <c r="H22" s="21">
        <f t="shared" si="4"/>
        <v>1393493</v>
      </c>
      <c r="I22" s="22">
        <f t="shared" si="4"/>
        <v>1402031</v>
      </c>
    </row>
    <row r="23" spans="2:14" x14ac:dyDescent="0.25">
      <c r="B23" s="187" t="s">
        <v>287</v>
      </c>
      <c r="C23" s="188" t="s">
        <v>0</v>
      </c>
      <c r="D23" s="248"/>
      <c r="E23" s="248"/>
      <c r="F23" s="248"/>
      <c r="G23" s="248"/>
      <c r="H23" s="248"/>
      <c r="I23" s="249"/>
      <c r="J23">
        <f>COUNTA(D23:I23)</f>
        <v>0</v>
      </c>
      <c r="K23" s="11" t="str">
        <f>IF(OR('Tenure Split (North Wales)'!$F$6='Tenure Split (North Wales)'!$B$194,'Tenure Split (North Wales)'!$F$6='Tenure Split (North Wales)'!$B$195,'Tenure Split (North Wales)'!$F$6='Tenure Split (North Wales)'!$B$196),"","&lt;&lt; Please enter data here")</f>
        <v/>
      </c>
    </row>
    <row r="24" spans="2:14" x14ac:dyDescent="0.25">
      <c r="B24" s="189" t="s">
        <v>287</v>
      </c>
      <c r="C24" s="190" t="s">
        <v>1</v>
      </c>
      <c r="D24" s="250"/>
      <c r="E24" s="250"/>
      <c r="F24" s="250"/>
      <c r="G24" s="250"/>
      <c r="H24" s="250"/>
      <c r="I24" s="251"/>
      <c r="J24" s="1">
        <f t="shared" ref="J24:J26" si="5">COUNTA(D24:I24)</f>
        <v>0</v>
      </c>
      <c r="K24" s="11" t="str">
        <f>IF(OR('Tenure Split (Mid and SW Wales)'!$F$6='Tenure Split (Mid and SW Wales)'!$B$194,'Tenure Split (Mid and SW Wales)'!$F$6='Tenure Split (Mid and SW Wales)'!$B$195,'Tenure Split (Mid and SW Wales)'!$F$6='Tenure Split (Mid and SW Wales)'!$B$196),"","&lt;&lt; Please enter data here")</f>
        <v/>
      </c>
    </row>
    <row r="25" spans="2:14" x14ac:dyDescent="0.25">
      <c r="B25" s="189" t="s">
        <v>287</v>
      </c>
      <c r="C25" s="190" t="s">
        <v>2</v>
      </c>
      <c r="D25" s="250"/>
      <c r="E25" s="250"/>
      <c r="F25" s="250"/>
      <c r="G25" s="250"/>
      <c r="H25" s="250"/>
      <c r="I25" s="251"/>
      <c r="J25" s="1">
        <f t="shared" si="5"/>
        <v>0</v>
      </c>
      <c r="K25" s="11" t="str">
        <f>IF(OR('Tenure Split (SE Wales)'!$F$6='Tenure Split (SE Wales)'!$B$194,'Tenure Split (SE Wales)'!$F$6='Tenure Split (SE Wales)'!$B$195,'Tenure Split (SE Wales)'!$F$6='Tenure Split (SE Wales)'!$B$196),"","&lt;&lt; Please enter data here")</f>
        <v/>
      </c>
    </row>
    <row r="26" spans="2:14" x14ac:dyDescent="0.25">
      <c r="B26" s="191" t="s">
        <v>287</v>
      </c>
      <c r="C26" s="192" t="s">
        <v>3</v>
      </c>
      <c r="D26" s="252"/>
      <c r="E26" s="252"/>
      <c r="F26" s="252"/>
      <c r="G26" s="252"/>
      <c r="H26" s="252"/>
      <c r="I26" s="253"/>
      <c r="J26" s="1">
        <f t="shared" si="5"/>
        <v>0</v>
      </c>
      <c r="K26" s="11" t="str">
        <f>IF(OR('Tenure Split (WALES)'!$F$6='Tenure Split (WALES)'!$B$194,'Tenure Split (WALES)'!$F$6='Tenure Split (WALES)'!$B$195,'Tenure Split (WALES)'!$F$6='Tenure Split (WALES)'!$B$196),"","&lt;&lt; Please enter data here")</f>
        <v/>
      </c>
    </row>
    <row r="28" spans="2:14" x14ac:dyDescent="0.25">
      <c r="B28" s="37" t="s">
        <v>329</v>
      </c>
      <c r="D28" s="2"/>
    </row>
    <row r="29" spans="2:14" x14ac:dyDescent="0.25">
      <c r="D29" s="310"/>
    </row>
    <row r="31" spans="2:14" x14ac:dyDescent="0.25">
      <c r="G31" s="2"/>
      <c r="H31" s="2"/>
      <c r="I31" s="2"/>
      <c r="J31" s="2"/>
      <c r="K31" s="2"/>
      <c r="L31" s="2"/>
      <c r="M31" s="2"/>
      <c r="N31" s="2"/>
    </row>
    <row r="32" spans="2:14" x14ac:dyDescent="0.25">
      <c r="G32" s="2"/>
      <c r="H32" s="2"/>
      <c r="I32" s="2"/>
      <c r="J32" s="2"/>
      <c r="K32" s="2"/>
      <c r="L32" s="2"/>
    </row>
  </sheetData>
  <sheetProtection sheet="1" objects="1" scenarios="1"/>
  <dataValidations count="1">
    <dataValidation type="whole" operator="greaterThan" allowBlank="1" showErrorMessage="1" errorTitle="Household Projections" error="Please enter a valid number" sqref="D23:I26">
      <formula1>0</formula1>
    </dataValidation>
  </dataValidation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2"/>
  <sheetViews>
    <sheetView showGridLines="0" workbookViewId="0"/>
  </sheetViews>
  <sheetFormatPr defaultRowHeight="15" x14ac:dyDescent="0.25"/>
  <cols>
    <col min="1" max="1" width="1.7109375" customWidth="1"/>
    <col min="2" max="2" width="20" customWidth="1"/>
    <col min="3" max="3" width="11.42578125" customWidth="1"/>
    <col min="4" max="4" width="9.140625" style="71"/>
    <col min="5" max="5" width="30.140625" customWidth="1"/>
  </cols>
  <sheetData>
    <row r="2" spans="2:9" ht="15" customHeight="1" x14ac:dyDescent="0.25">
      <c r="B2" s="406" t="s">
        <v>265</v>
      </c>
      <c r="C2" s="407"/>
      <c r="D2" s="407"/>
      <c r="E2" s="407"/>
      <c r="F2" s="407"/>
      <c r="G2" s="407"/>
      <c r="H2" s="407"/>
      <c r="I2" s="408"/>
    </row>
    <row r="3" spans="2:9" s="1" customFormat="1" x14ac:dyDescent="0.25">
      <c r="B3" s="409"/>
      <c r="C3" s="410"/>
      <c r="D3" s="410"/>
      <c r="E3" s="410"/>
      <c r="F3" s="410"/>
      <c r="G3" s="410"/>
      <c r="H3" s="410"/>
      <c r="I3" s="411"/>
    </row>
    <row r="4" spans="2:9" s="1" customFormat="1" x14ac:dyDescent="0.25">
      <c r="B4" s="409"/>
      <c r="C4" s="410"/>
      <c r="D4" s="410"/>
      <c r="E4" s="410"/>
      <c r="F4" s="410"/>
      <c r="G4" s="410"/>
      <c r="H4" s="410"/>
      <c r="I4" s="411"/>
    </row>
    <row r="5" spans="2:9" s="1" customFormat="1" x14ac:dyDescent="0.25">
      <c r="B5" s="412"/>
      <c r="C5" s="413"/>
      <c r="D5" s="413"/>
      <c r="E5" s="413"/>
      <c r="F5" s="413"/>
      <c r="G5" s="413"/>
      <c r="H5" s="413"/>
      <c r="I5" s="414"/>
    </row>
    <row r="6" spans="2:9" s="1" customFormat="1" x14ac:dyDescent="0.25">
      <c r="D6" s="71"/>
    </row>
    <row r="7" spans="2:9" ht="16.5" customHeight="1" x14ac:dyDescent="0.25">
      <c r="B7" s="415" t="s">
        <v>301</v>
      </c>
      <c r="C7" s="281" t="s">
        <v>166</v>
      </c>
      <c r="D7" s="17"/>
      <c r="E7" s="278"/>
    </row>
    <row r="8" spans="2:9" ht="16.5" customHeight="1" x14ac:dyDescent="0.25">
      <c r="B8" s="416"/>
      <c r="C8" s="20" t="s">
        <v>41</v>
      </c>
      <c r="D8" s="217">
        <v>0.3</v>
      </c>
      <c r="E8" s="45"/>
    </row>
    <row r="9" spans="2:9" ht="15.75" customHeight="1" x14ac:dyDescent="0.25">
      <c r="B9" s="417"/>
      <c r="C9" s="191" t="s">
        <v>83</v>
      </c>
      <c r="D9" s="279"/>
      <c r="E9" s="280" t="str">
        <f>IF(OR('Tenure Split (WALES)'!F11='Tenure Split (WALES)'!$B$194,'Tenure Split (WALES)'!F11='Tenure Split (WALES)'!$B$195,'Tenure Split (WALES)'!F11='Tenure Split (WALES)'!$B$196),"","&lt;&lt; Please enter data here")</f>
        <v/>
      </c>
    </row>
    <row r="10" spans="2:9" ht="15.75" x14ac:dyDescent="0.25">
      <c r="B10" s="418" t="s">
        <v>302</v>
      </c>
      <c r="C10" s="281" t="s">
        <v>243</v>
      </c>
      <c r="D10" s="17"/>
      <c r="E10" s="278"/>
    </row>
    <row r="11" spans="2:9" ht="15" customHeight="1" x14ac:dyDescent="0.25">
      <c r="B11" s="419"/>
      <c r="C11" s="20" t="s">
        <v>41</v>
      </c>
      <c r="D11" s="12">
        <v>3.8</v>
      </c>
      <c r="E11" s="45"/>
    </row>
    <row r="12" spans="2:9" x14ac:dyDescent="0.25">
      <c r="B12" s="419"/>
      <c r="C12" s="191" t="s">
        <v>83</v>
      </c>
      <c r="D12" s="252"/>
      <c r="E12" s="280" t="str">
        <f>IF(OR('Tenure Split (WALES)'!F20='Tenure Split (WALES)'!$B$194,'Tenure Split (WALES)'!F20='Tenure Split (WALES)'!$B$195,'Tenure Split (WALES)'!F20='Tenure Split (WALES)'!$B$196),"","&lt;&lt; Please enter data here")</f>
        <v/>
      </c>
    </row>
    <row r="13" spans="2:9" ht="15.75" x14ac:dyDescent="0.25">
      <c r="B13" s="419"/>
      <c r="C13" s="282" t="s">
        <v>244</v>
      </c>
      <c r="D13" s="17"/>
      <c r="E13" s="278"/>
    </row>
    <row r="14" spans="2:9" x14ac:dyDescent="0.25">
      <c r="B14" s="419"/>
      <c r="C14" s="20" t="s">
        <v>84</v>
      </c>
      <c r="D14" s="12">
        <v>25</v>
      </c>
      <c r="E14" s="45"/>
    </row>
    <row r="15" spans="2:9" x14ac:dyDescent="0.25">
      <c r="B15" s="419"/>
      <c r="C15" s="20" t="s">
        <v>85</v>
      </c>
      <c r="D15" s="12">
        <v>40</v>
      </c>
      <c r="E15" s="45"/>
    </row>
    <row r="16" spans="2:9" x14ac:dyDescent="0.25">
      <c r="B16" s="419"/>
      <c r="C16" s="191" t="s">
        <v>83</v>
      </c>
      <c r="D16" s="252"/>
      <c r="E16" s="280" t="str">
        <f>IF(OR('Tenure Split (WALES)'!F21='Tenure Split (WALES)'!$B$194,'Tenure Split (WALES)'!F21='Tenure Split (WALES)'!$B$195,'Tenure Split (WALES)'!F21='Tenure Split (WALES)'!$B$196),"","&lt;&lt; Please enter data here")</f>
        <v/>
      </c>
    </row>
    <row r="17" spans="2:5" ht="15.75" x14ac:dyDescent="0.25">
      <c r="B17" s="419"/>
      <c r="C17" s="281" t="s">
        <v>281</v>
      </c>
      <c r="D17" s="17"/>
      <c r="E17" s="278"/>
    </row>
    <row r="18" spans="2:5" x14ac:dyDescent="0.25">
      <c r="B18" s="419"/>
      <c r="C18" s="191" t="s">
        <v>83</v>
      </c>
      <c r="D18" s="279"/>
      <c r="E18" s="280" t="str">
        <f>IF(OR('Tenure Split (WALES)'!F22='Tenure Split (WALES)'!$B$194,'Tenure Split (WALES)'!F22='Tenure Split (WALES)'!$B$195,'Tenure Split (WALES)'!F22='Tenure Split (WALES)'!$B$196),"","&lt;&lt; Please enter data here")</f>
        <v>&lt;&lt; Please enter data here</v>
      </c>
    </row>
    <row r="19" spans="2:5" ht="15.75" x14ac:dyDescent="0.25">
      <c r="B19" s="419"/>
      <c r="C19" s="281" t="s">
        <v>167</v>
      </c>
      <c r="D19" s="17"/>
      <c r="E19" s="278"/>
    </row>
    <row r="20" spans="2:5" x14ac:dyDescent="0.25">
      <c r="B20" s="419"/>
      <c r="C20" s="20" t="s">
        <v>41</v>
      </c>
      <c r="D20" s="217">
        <v>0.35</v>
      </c>
      <c r="E20" s="45"/>
    </row>
    <row r="21" spans="2:5" x14ac:dyDescent="0.25">
      <c r="B21" s="420"/>
      <c r="C21" s="191" t="s">
        <v>83</v>
      </c>
      <c r="D21" s="279"/>
      <c r="E21" s="280" t="str">
        <f>IF(OR('Tenure Split (WALES)'!F23='Tenure Split (WALES)'!$B$194,'Tenure Split (WALES)'!F23='Tenure Split (WALES)'!$B$195,'Tenure Split (WALES)'!F23='Tenure Split (WALES)'!$B$196),"","&lt;&lt; Please enter data here")</f>
        <v/>
      </c>
    </row>
    <row r="22" spans="2:5" x14ac:dyDescent="0.25">
      <c r="D22"/>
      <c r="E22" s="71"/>
    </row>
  </sheetData>
  <sheetProtection sheet="1" objects="1" scenarios="1"/>
  <mergeCells count="3">
    <mergeCell ref="B2:I5"/>
    <mergeCell ref="B7:B9"/>
    <mergeCell ref="B10:B21"/>
  </mergeCells>
  <dataValidations count="3">
    <dataValidation type="decimal" operator="greaterThan" allowBlank="1" showInputMessage="1" showErrorMessage="1" sqref="D12">
      <formula1>0</formula1>
    </dataValidation>
    <dataValidation type="whole" allowBlank="1" showInputMessage="1" showErrorMessage="1" sqref="D16">
      <formula1>0</formula1>
      <formula2>99</formula2>
    </dataValidation>
    <dataValidation type="decimal" allowBlank="1" showInputMessage="1" showErrorMessage="1" sqref="D18 D9 D21">
      <formula1>0</formula1>
      <formula2>1</formula2>
    </dataValidation>
  </dataValidation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workbookViewId="0"/>
  </sheetViews>
  <sheetFormatPr defaultRowHeight="15" x14ac:dyDescent="0.25"/>
  <cols>
    <col min="1" max="1" width="2.5703125" style="1" customWidth="1"/>
    <col min="2" max="2" width="42.5703125" customWidth="1"/>
    <col min="3" max="3" width="10" style="1" hidden="1" customWidth="1"/>
    <col min="4" max="4" width="9.28515625" bestFit="1" customWidth="1"/>
    <col min="5" max="5" width="10.140625" bestFit="1" customWidth="1"/>
    <col min="6" max="8" width="9.28515625" bestFit="1" customWidth="1"/>
    <col min="9" max="9" width="9.140625" hidden="1" customWidth="1"/>
  </cols>
  <sheetData>
    <row r="1" spans="2:10" s="1" customFormat="1" x14ac:dyDescent="0.25"/>
    <row r="2" spans="2:10" s="1" customFormat="1" x14ac:dyDescent="0.25">
      <c r="B2" s="406" t="s">
        <v>266</v>
      </c>
      <c r="C2" s="407"/>
      <c r="D2" s="407"/>
      <c r="E2" s="407"/>
      <c r="F2" s="407"/>
      <c r="G2" s="408"/>
    </row>
    <row r="3" spans="2:10" s="1" customFormat="1" x14ac:dyDescent="0.25">
      <c r="B3" s="409"/>
      <c r="C3" s="410"/>
      <c r="D3" s="410"/>
      <c r="E3" s="410"/>
      <c r="F3" s="410"/>
      <c r="G3" s="411"/>
    </row>
    <row r="4" spans="2:10" s="1" customFormat="1" x14ac:dyDescent="0.25">
      <c r="B4" s="409"/>
      <c r="C4" s="410"/>
      <c r="D4" s="410"/>
      <c r="E4" s="410"/>
      <c r="F4" s="410"/>
      <c r="G4" s="411"/>
    </row>
    <row r="5" spans="2:10" s="1" customFormat="1" x14ac:dyDescent="0.25">
      <c r="B5" s="412"/>
      <c r="C5" s="413"/>
      <c r="D5" s="413"/>
      <c r="E5" s="413"/>
      <c r="F5" s="413"/>
      <c r="G5" s="414"/>
    </row>
    <row r="6" spans="2:10" s="1" customFormat="1" x14ac:dyDescent="0.25"/>
    <row r="7" spans="2:10" ht="23.25" x14ac:dyDescent="0.35">
      <c r="B7" s="15" t="s">
        <v>67</v>
      </c>
      <c r="C7" s="9"/>
      <c r="D7" s="5" t="s">
        <v>9</v>
      </c>
      <c r="E7" s="5" t="s">
        <v>10</v>
      </c>
      <c r="F7" s="5" t="s">
        <v>11</v>
      </c>
      <c r="G7" s="5" t="s">
        <v>12</v>
      </c>
      <c r="H7" s="5" t="s">
        <v>13</v>
      </c>
    </row>
    <row r="8" spans="2:10" s="1" customFormat="1" ht="15.75" x14ac:dyDescent="0.25">
      <c r="B8" s="9" t="s">
        <v>61</v>
      </c>
    </row>
    <row r="9" spans="2:10" x14ac:dyDescent="0.25">
      <c r="B9" s="1"/>
    </row>
    <row r="10" spans="2:10" x14ac:dyDescent="0.25">
      <c r="B10" t="s">
        <v>289</v>
      </c>
      <c r="C10" s="1" t="s">
        <v>41</v>
      </c>
      <c r="D10" s="7">
        <v>3.5377362656780903E-2</v>
      </c>
      <c r="E10" s="7">
        <v>2.571119448209791E-2</v>
      </c>
      <c r="F10" s="7">
        <v>3.2803011550502595E-2</v>
      </c>
      <c r="G10" s="7">
        <v>3.70858525612624E-2</v>
      </c>
      <c r="H10" s="7">
        <v>3.8062223065459387E-2</v>
      </c>
    </row>
    <row r="11" spans="2:10" x14ac:dyDescent="0.25">
      <c r="B11" s="186" t="s">
        <v>62</v>
      </c>
      <c r="C11" s="186" t="s">
        <v>49</v>
      </c>
      <c r="D11" s="258"/>
      <c r="E11" s="258"/>
      <c r="F11" s="258"/>
      <c r="G11" s="258"/>
      <c r="H11" s="258"/>
      <c r="I11">
        <f>COUNTA(D11:H11)</f>
        <v>0</v>
      </c>
      <c r="J11" s="11" t="str">
        <f>IF(OR('Tenure Split (WALES)'!F14='Tenure Split (WALES)'!$B$194,'Tenure Split (WALES)'!F14='Tenure Split (WALES)'!$B$195,'Tenure Split (WALES)'!F14='Tenure Split (WALES)'!$B$196),"","&lt;&lt; Please enter your data here")</f>
        <v/>
      </c>
    </row>
    <row r="12" spans="2:10" x14ac:dyDescent="0.25">
      <c r="D12" s="7"/>
      <c r="E12" s="7"/>
      <c r="F12" s="7"/>
      <c r="G12" s="7"/>
      <c r="H12" s="7"/>
    </row>
    <row r="13" spans="2:10" ht="15.75" x14ac:dyDescent="0.25">
      <c r="B13" s="9" t="s">
        <v>66</v>
      </c>
      <c r="D13" s="7"/>
      <c r="E13" s="7"/>
      <c r="F13" s="7"/>
      <c r="G13" s="7"/>
      <c r="H13" s="7"/>
    </row>
    <row r="14" spans="2:10" x14ac:dyDescent="0.25">
      <c r="B14" t="s">
        <v>63</v>
      </c>
      <c r="C14" s="1" t="s">
        <v>63</v>
      </c>
      <c r="D14" s="7">
        <v>0.01</v>
      </c>
      <c r="E14" s="7">
        <v>0.01</v>
      </c>
      <c r="F14" s="7">
        <v>0.01</v>
      </c>
      <c r="G14" s="7">
        <v>0.01</v>
      </c>
      <c r="H14" s="7">
        <v>0.01</v>
      </c>
    </row>
    <row r="15" spans="2:10" x14ac:dyDescent="0.25">
      <c r="B15" t="s">
        <v>64</v>
      </c>
      <c r="C15" s="1" t="s">
        <v>64</v>
      </c>
      <c r="D15" s="7">
        <v>0</v>
      </c>
      <c r="E15" s="7">
        <v>0</v>
      </c>
      <c r="F15" s="7">
        <v>0</v>
      </c>
      <c r="G15" s="7">
        <v>0</v>
      </c>
      <c r="H15" s="7">
        <v>0</v>
      </c>
    </row>
    <row r="16" spans="2:10" x14ac:dyDescent="0.25">
      <c r="B16" s="186" t="s">
        <v>65</v>
      </c>
      <c r="C16" s="186" t="s">
        <v>49</v>
      </c>
      <c r="D16" s="258"/>
      <c r="E16" s="258"/>
      <c r="F16" s="258"/>
      <c r="G16" s="258"/>
      <c r="H16" s="258"/>
      <c r="I16" s="1">
        <f>COUNTA(D16:H16)</f>
        <v>0</v>
      </c>
      <c r="J16" s="11" t="str">
        <f>IF(OR('Tenure Split (WALES)'!F15='Tenure Split (WALES)'!$B$194,'Tenure Split (WALES)'!F15='Tenure Split (WALES)'!$B$195,'Tenure Split (WALES)'!F15='Tenure Split (WALES)'!$B$196),"","&lt;&lt; Please enter your data here")</f>
        <v/>
      </c>
    </row>
    <row r="17" spans="2:12" x14ac:dyDescent="0.25">
      <c r="D17" s="7"/>
      <c r="E17" s="7"/>
      <c r="F17" s="7"/>
      <c r="G17" s="7"/>
      <c r="H17" s="7"/>
    </row>
    <row r="19" spans="2:12" ht="23.25" x14ac:dyDescent="0.35">
      <c r="B19" s="15" t="s">
        <v>21</v>
      </c>
      <c r="D19" s="7"/>
      <c r="E19" s="7"/>
      <c r="F19" s="7"/>
      <c r="G19" s="7"/>
      <c r="H19" s="7"/>
    </row>
    <row r="20" spans="2:12" ht="15.75" x14ac:dyDescent="0.25">
      <c r="B20" s="9" t="s">
        <v>69</v>
      </c>
      <c r="D20" s="7"/>
      <c r="E20" s="7"/>
      <c r="F20" s="7"/>
      <c r="G20" s="7"/>
      <c r="H20" s="7"/>
    </row>
    <row r="21" spans="2:12" x14ac:dyDescent="0.25">
      <c r="B21" t="s">
        <v>290</v>
      </c>
      <c r="C21" s="1" t="s">
        <v>41</v>
      </c>
      <c r="D21" s="273">
        <v>2.9066130553574002E-2</v>
      </c>
      <c r="E21" s="273">
        <v>2.9536238937667179E-2</v>
      </c>
      <c r="F21" s="273">
        <v>3.0600923725820621E-2</v>
      </c>
      <c r="G21" s="273">
        <v>3.1212408697362831E-2</v>
      </c>
      <c r="H21" s="273">
        <v>3.1716449662899181E-2</v>
      </c>
      <c r="I21" s="1"/>
      <c r="L21" s="7"/>
    </row>
    <row r="22" spans="2:12" x14ac:dyDescent="0.25">
      <c r="B22" s="186" t="s">
        <v>62</v>
      </c>
      <c r="C22" s="186" t="s">
        <v>49</v>
      </c>
      <c r="D22" s="258"/>
      <c r="E22" s="258"/>
      <c r="F22" s="258"/>
      <c r="G22" s="258"/>
      <c r="H22" s="258"/>
      <c r="I22" s="1">
        <f>COUNTA(D22:H22)</f>
        <v>0</v>
      </c>
      <c r="J22" s="11" t="str">
        <f>IF(OR('Tenure Split (WALES)'!F16='Tenure Split (WALES)'!$B$194,'Tenure Split (WALES)'!F16='Tenure Split (WALES)'!$B$195,'Tenure Split (WALES)'!F16='Tenure Split (WALES)'!$B$196),"","&lt;&lt; Please enter your data here")</f>
        <v/>
      </c>
      <c r="L22" s="7"/>
    </row>
    <row r="23" spans="2:12" x14ac:dyDescent="0.25">
      <c r="L23" s="7"/>
    </row>
    <row r="24" spans="2:12" ht="23.25" x14ac:dyDescent="0.35">
      <c r="B24" s="15" t="s">
        <v>20</v>
      </c>
      <c r="D24" s="7"/>
      <c r="E24" s="7"/>
      <c r="F24" s="7"/>
      <c r="G24" s="7"/>
      <c r="H24" s="7"/>
      <c r="L24" s="7"/>
    </row>
    <row r="25" spans="2:12" ht="15.75" x14ac:dyDescent="0.25">
      <c r="B25" s="9" t="s">
        <v>68</v>
      </c>
      <c r="D25" s="7"/>
      <c r="E25" s="7"/>
      <c r="F25" s="7"/>
      <c r="G25" s="7"/>
      <c r="H25" s="7"/>
      <c r="L25" s="7"/>
    </row>
    <row r="26" spans="2:12" x14ac:dyDescent="0.25">
      <c r="B26" t="s">
        <v>291</v>
      </c>
      <c r="C26" s="1" t="s">
        <v>41</v>
      </c>
      <c r="D26" s="272">
        <v>2.8405585293094449E-2</v>
      </c>
      <c r="E26" s="272">
        <v>2.2265547421218557E-3</v>
      </c>
      <c r="F26" s="272">
        <v>2.1524380028468126E-2</v>
      </c>
      <c r="G26" s="272">
        <v>3.8999168521062666E-2</v>
      </c>
      <c r="H26" s="272">
        <v>4.147992390238664E-2</v>
      </c>
    </row>
    <row r="27" spans="2:12" x14ac:dyDescent="0.25">
      <c r="B27" s="186" t="s">
        <v>62</v>
      </c>
      <c r="C27" s="186" t="s">
        <v>49</v>
      </c>
      <c r="D27" s="258"/>
      <c r="E27" s="258"/>
      <c r="F27" s="258"/>
      <c r="G27" s="258"/>
      <c r="H27" s="258"/>
      <c r="I27" s="1">
        <f>COUNTA(D27:H27)</f>
        <v>0</v>
      </c>
      <c r="J27" s="11" t="str">
        <f>IF(OR('Tenure Split (WALES)'!F25='Tenure Split (WALES)'!$B$194,'Tenure Split (WALES)'!F25='Tenure Split (WALES)'!$B$195,'Tenure Split (WALES)'!F25='Tenure Split (WALES)'!$B$196),"","&lt;&lt; Please enter your data here")</f>
        <v/>
      </c>
    </row>
    <row r="28" spans="2:12" x14ac:dyDescent="0.25">
      <c r="B28" s="1"/>
      <c r="C28"/>
      <c r="D28" s="1"/>
    </row>
  </sheetData>
  <sheetProtection sheet="1" objects="1" scenarios="1"/>
  <mergeCells count="1">
    <mergeCell ref="B2:G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H28"/>
  <sheetViews>
    <sheetView showGridLines="0" workbookViewId="0">
      <selection activeCell="C24" sqref="C24"/>
    </sheetView>
  </sheetViews>
  <sheetFormatPr defaultRowHeight="15" x14ac:dyDescent="0.25"/>
  <cols>
    <col min="1" max="1" width="3.28515625" customWidth="1"/>
    <col min="2" max="2" width="23" customWidth="1"/>
    <col min="3" max="3" width="24" customWidth="1"/>
    <col min="4" max="4" width="28.85546875" bestFit="1" customWidth="1"/>
    <col min="5" max="5" width="30.7109375" bestFit="1" customWidth="1"/>
  </cols>
  <sheetData>
    <row r="1" spans="2:8" s="1" customFormat="1" x14ac:dyDescent="0.25"/>
    <row r="2" spans="2:8" s="1" customFormat="1" x14ac:dyDescent="0.25">
      <c r="B2" s="406" t="s">
        <v>267</v>
      </c>
      <c r="C2" s="407"/>
      <c r="D2" s="407"/>
      <c r="E2" s="407"/>
      <c r="F2" s="407"/>
      <c r="G2" s="407"/>
      <c r="H2" s="408"/>
    </row>
    <row r="3" spans="2:8" s="1" customFormat="1" x14ac:dyDescent="0.25">
      <c r="B3" s="409"/>
      <c r="C3" s="410"/>
      <c r="D3" s="410"/>
      <c r="E3" s="410"/>
      <c r="F3" s="410"/>
      <c r="G3" s="410"/>
      <c r="H3" s="411"/>
    </row>
    <row r="4" spans="2:8" s="1" customFormat="1" x14ac:dyDescent="0.25">
      <c r="B4" s="409"/>
      <c r="C4" s="410"/>
      <c r="D4" s="410"/>
      <c r="E4" s="410"/>
      <c r="F4" s="410"/>
      <c r="G4" s="410"/>
      <c r="H4" s="411"/>
    </row>
    <row r="5" spans="2:8" s="1" customFormat="1" x14ac:dyDescent="0.25">
      <c r="B5" s="412"/>
      <c r="C5" s="413"/>
      <c r="D5" s="413"/>
      <c r="E5" s="413"/>
      <c r="F5" s="413"/>
      <c r="G5" s="413"/>
      <c r="H5" s="414"/>
    </row>
    <row r="6" spans="2:8" ht="18.75" x14ac:dyDescent="0.3">
      <c r="B6" s="10" t="s">
        <v>23</v>
      </c>
    </row>
    <row r="7" spans="2:8" ht="15.75" x14ac:dyDescent="0.25">
      <c r="B7" s="9" t="s">
        <v>74</v>
      </c>
    </row>
    <row r="8" spans="2:8" s="39" customFormat="1" ht="31.5" customHeight="1" x14ac:dyDescent="0.25">
      <c r="B8" s="42" t="s">
        <v>70</v>
      </c>
      <c r="C8" s="43" t="s">
        <v>24</v>
      </c>
      <c r="D8" s="50" t="s">
        <v>76</v>
      </c>
      <c r="E8" s="51" t="s">
        <v>77</v>
      </c>
    </row>
    <row r="9" spans="2:8" x14ac:dyDescent="0.25">
      <c r="B9" s="20" t="s">
        <v>6</v>
      </c>
      <c r="C9" s="40">
        <v>1242</v>
      </c>
      <c r="D9" s="44">
        <v>735</v>
      </c>
      <c r="E9" s="45">
        <v>507</v>
      </c>
    </row>
    <row r="10" spans="2:8" x14ac:dyDescent="0.25">
      <c r="B10" s="20" t="s">
        <v>5</v>
      </c>
      <c r="C10" s="40">
        <v>1153</v>
      </c>
      <c r="D10" s="44">
        <v>862</v>
      </c>
      <c r="E10" s="45">
        <v>291</v>
      </c>
    </row>
    <row r="11" spans="2:8" x14ac:dyDescent="0.25">
      <c r="B11" s="20" t="s">
        <v>7</v>
      </c>
      <c r="C11" s="40">
        <v>3247</v>
      </c>
      <c r="D11" s="46">
        <v>1906</v>
      </c>
      <c r="E11" s="47">
        <v>1341</v>
      </c>
    </row>
    <row r="12" spans="2:8" x14ac:dyDescent="0.25">
      <c r="B12" s="23" t="s">
        <v>4</v>
      </c>
      <c r="C12" s="41">
        <v>5645</v>
      </c>
      <c r="D12" s="48">
        <v>3503</v>
      </c>
      <c r="E12" s="49">
        <v>2142</v>
      </c>
    </row>
    <row r="13" spans="2:8" s="1" customFormat="1" x14ac:dyDescent="0.25">
      <c r="B13" s="12"/>
      <c r="C13" s="53"/>
      <c r="D13" s="54"/>
      <c r="E13" s="54"/>
    </row>
    <row r="14" spans="2:8" s="1" customFormat="1" x14ac:dyDescent="0.25">
      <c r="B14" s="55" t="s">
        <v>78</v>
      </c>
      <c r="C14" s="56">
        <v>5</v>
      </c>
      <c r="D14" s="54"/>
      <c r="E14" s="54"/>
    </row>
    <row r="16" spans="2:8" ht="15.75" x14ac:dyDescent="0.25">
      <c r="B16" s="9" t="s">
        <v>75</v>
      </c>
    </row>
    <row r="17" spans="2:4" s="52" customFormat="1" ht="31.5" customHeight="1" x14ac:dyDescent="0.25">
      <c r="B17" s="181" t="s">
        <v>70</v>
      </c>
      <c r="C17" s="182" t="s">
        <v>24</v>
      </c>
    </row>
    <row r="18" spans="2:4" x14ac:dyDescent="0.25">
      <c r="B18" s="183" t="s">
        <v>6</v>
      </c>
      <c r="C18" s="260"/>
      <c r="D18" s="11" t="str">
        <f>IF(AND('Tenure Split (North Wales)'!$D$7="Other",ISBLANK(C18)),"&lt;&lt; Please enter data here","")</f>
        <v/>
      </c>
    </row>
    <row r="19" spans="2:4" x14ac:dyDescent="0.25">
      <c r="B19" s="183" t="s">
        <v>5</v>
      </c>
      <c r="C19" s="260"/>
      <c r="D19" s="11" t="str">
        <f>IF(AND('Tenure Split (Mid and SW Wales)'!$D$7="Other",ISBLANK(C19)),"&lt;&lt; Please enter data here","")</f>
        <v/>
      </c>
    </row>
    <row r="20" spans="2:4" x14ac:dyDescent="0.25">
      <c r="B20" s="183" t="s">
        <v>7</v>
      </c>
      <c r="C20" s="260"/>
      <c r="D20" s="11" t="str">
        <f>IF(AND('Tenure Split (SE Wales)'!$D$7="Other",ISBLANK(C20)),"&lt;&lt; Please enter data here","")</f>
        <v/>
      </c>
    </row>
    <row r="21" spans="2:4" x14ac:dyDescent="0.25">
      <c r="B21" s="184" t="s">
        <v>134</v>
      </c>
      <c r="C21" s="261"/>
      <c r="D21" s="11" t="str">
        <f>IF(OR('Tenure Split (WALES)'!F7='Tenure Split (WALES)'!$B$194,'Tenure Split (WALES)'!F7='Tenure Split (WALES)'!$B$195,'Tenure Split (WALES)'!F7='Tenure Split (WALES)'!$B$196),"","&lt;&lt; Please enter data here")</f>
        <v/>
      </c>
    </row>
    <row r="22" spans="2:4" s="1" customFormat="1" x14ac:dyDescent="0.25">
      <c r="B22" s="37"/>
      <c r="C22" s="37"/>
      <c r="D22" s="11"/>
    </row>
    <row r="24" spans="2:4" x14ac:dyDescent="0.25">
      <c r="B24" s="180" t="s">
        <v>78</v>
      </c>
      <c r="C24" s="262"/>
      <c r="D24" s="11" t="str">
        <f>IF(OR('Tenure Split (WALES)'!F12='Tenure Split (WALES)'!$B$194,'Tenure Split (WALES)'!F12='Tenure Split (WALES)'!$B$195,'Tenure Split (WALES)'!F12='Tenure Split (WALES)'!$B$196),"","&lt;&lt; Please enter data here")</f>
        <v/>
      </c>
    </row>
    <row r="28" spans="2:4" hidden="1" x14ac:dyDescent="0.25">
      <c r="B28" t="s">
        <v>92</v>
      </c>
      <c r="C28">
        <f>IF('Tenure Split (WALES)'!D12="Default",C14,C24)</f>
        <v>5</v>
      </c>
    </row>
  </sheetData>
  <sheetProtection sheet="1" objects="1" scenarios="1"/>
  <mergeCells count="1">
    <mergeCell ref="B2:H5"/>
  </mergeCells>
  <dataValidations count="2">
    <dataValidation type="whole" operator="greaterThan" allowBlank="1" showInputMessage="1" showErrorMessage="1" sqref="C24">
      <formula1>0</formula1>
    </dataValidation>
    <dataValidation type="whole" operator="greaterThanOrEqual" allowBlank="1" showInputMessage="1" showErrorMessage="1" sqref="C18 C19 C20 C21">
      <formula1>0</formula1>
    </dataValidation>
  </dataValidation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5"/>
  <sheetViews>
    <sheetView showGridLines="0" workbookViewId="0">
      <selection activeCell="G26" sqref="G26"/>
    </sheetView>
  </sheetViews>
  <sheetFormatPr defaultRowHeight="15" x14ac:dyDescent="0.25"/>
  <cols>
    <col min="1" max="1" width="2.140625" customWidth="1"/>
    <col min="2" max="2" width="13.42578125" customWidth="1"/>
    <col min="3" max="3" width="14.5703125" bestFit="1" customWidth="1"/>
  </cols>
  <sheetData>
    <row r="1" spans="2:8" s="1" customFormat="1" x14ac:dyDescent="0.25"/>
    <row r="2" spans="2:8" s="1" customFormat="1" ht="15" customHeight="1" x14ac:dyDescent="0.25">
      <c r="B2" s="421" t="s">
        <v>286</v>
      </c>
      <c r="C2" s="422"/>
      <c r="D2" s="422"/>
      <c r="E2" s="422"/>
      <c r="F2" s="422"/>
      <c r="G2" s="422"/>
      <c r="H2" s="423"/>
    </row>
    <row r="3" spans="2:8" s="1" customFormat="1" x14ac:dyDescent="0.25">
      <c r="B3" s="424"/>
      <c r="C3" s="425"/>
      <c r="D3" s="425"/>
      <c r="E3" s="425"/>
      <c r="F3" s="425"/>
      <c r="G3" s="425"/>
      <c r="H3" s="426"/>
    </row>
    <row r="4" spans="2:8" x14ac:dyDescent="0.25">
      <c r="B4" s="424"/>
      <c r="C4" s="425"/>
      <c r="D4" s="425"/>
      <c r="E4" s="425"/>
      <c r="F4" s="425"/>
      <c r="G4" s="425"/>
      <c r="H4" s="426"/>
    </row>
    <row r="5" spans="2:8" x14ac:dyDescent="0.25">
      <c r="B5" s="427"/>
      <c r="C5" s="428"/>
      <c r="D5" s="428"/>
      <c r="E5" s="428"/>
      <c r="F5" s="428"/>
      <c r="G5" s="428"/>
      <c r="H5" s="429"/>
    </row>
    <row r="7" spans="2:8" x14ac:dyDescent="0.25">
      <c r="B7" s="3" t="s">
        <v>4</v>
      </c>
    </row>
    <row r="8" spans="2:8" x14ac:dyDescent="0.25">
      <c r="C8" t="s">
        <v>90</v>
      </c>
      <c r="D8" t="s">
        <v>91</v>
      </c>
    </row>
    <row r="9" spans="2:8" x14ac:dyDescent="0.25">
      <c r="B9" t="s">
        <v>82</v>
      </c>
      <c r="C9" s="4">
        <v>5700</v>
      </c>
      <c r="D9" s="4">
        <v>6300</v>
      </c>
    </row>
    <row r="10" spans="2:8" x14ac:dyDescent="0.25">
      <c r="B10" s="186" t="s">
        <v>49</v>
      </c>
      <c r="C10" s="259"/>
      <c r="D10" s="259"/>
      <c r="E10" s="11" t="str">
        <f>IF(OR('Tenure Split (WALES)'!$F$9='Tenure Split (WALES)'!$B$194,'Tenure Split (WALES)'!$F$9='Tenure Split (WALES)'!$B$195,'Tenure Split (WALES)'!$F$9='Tenure Split (WALES)'!$B$196),"","&lt;&lt; Please enter your data here")</f>
        <v/>
      </c>
    </row>
    <row r="12" spans="2:8" x14ac:dyDescent="0.25">
      <c r="B12" s="3" t="s">
        <v>0</v>
      </c>
      <c r="C12" s="1"/>
      <c r="D12" s="1"/>
    </row>
    <row r="13" spans="2:8" x14ac:dyDescent="0.25">
      <c r="B13" s="1"/>
      <c r="C13" s="1" t="s">
        <v>90</v>
      </c>
      <c r="D13" s="1" t="s">
        <v>91</v>
      </c>
    </row>
    <row r="14" spans="2:8" x14ac:dyDescent="0.25">
      <c r="B14" s="1" t="s">
        <v>82</v>
      </c>
      <c r="C14" s="4">
        <v>5940</v>
      </c>
      <c r="D14" s="4">
        <v>6600</v>
      </c>
    </row>
    <row r="15" spans="2:8" x14ac:dyDescent="0.25">
      <c r="B15" s="186" t="s">
        <v>49</v>
      </c>
      <c r="C15" s="259"/>
      <c r="D15" s="259"/>
      <c r="E15" s="11" t="str">
        <f>IF(OR('Tenure Split (North Wales)'!$F$9='Tenure Split (North Wales)'!$B$194,'Tenure Split (North Wales)'!$F$9='Tenure Split (North Wales)'!$B$195,'Tenure Split (North Wales)'!$F$9='Tenure Split (North Wales)'!$B$196),"","&lt;&lt; Please enter your data here")</f>
        <v/>
      </c>
    </row>
    <row r="17" spans="2:5" x14ac:dyDescent="0.25">
      <c r="B17" s="3" t="s">
        <v>137</v>
      </c>
      <c r="C17" s="1"/>
      <c r="D17" s="1"/>
    </row>
    <row r="18" spans="2:5" x14ac:dyDescent="0.25">
      <c r="B18" s="1"/>
      <c r="C18" s="1" t="s">
        <v>90</v>
      </c>
      <c r="D18" s="1" t="s">
        <v>91</v>
      </c>
    </row>
    <row r="19" spans="2:5" x14ac:dyDescent="0.25">
      <c r="B19" s="1" t="s">
        <v>82</v>
      </c>
      <c r="C19" s="4">
        <v>5400</v>
      </c>
      <c r="D19" s="4">
        <v>5940</v>
      </c>
    </row>
    <row r="20" spans="2:5" x14ac:dyDescent="0.25">
      <c r="B20" s="186" t="s">
        <v>49</v>
      </c>
      <c r="C20" s="259"/>
      <c r="D20" s="259"/>
      <c r="E20" s="11" t="str">
        <f>IF(OR('Tenure Split (Mid and SW Wales)'!$F$9='Tenure Split (Mid and SW Wales)'!$B$194,'Tenure Split (Mid and SW Wales)'!$F$9='Tenure Split (Mid and SW Wales)'!$B$195,'Tenure Split (Mid and SW Wales)'!$F$9='Tenure Split (Mid and SW Wales)'!$B$196),"","&lt;&lt; Please enter your data here")</f>
        <v/>
      </c>
    </row>
    <row r="22" spans="2:5" x14ac:dyDescent="0.25">
      <c r="B22" s="3" t="s">
        <v>2</v>
      </c>
      <c r="C22" s="1"/>
      <c r="D22" s="1"/>
    </row>
    <row r="23" spans="2:5" x14ac:dyDescent="0.25">
      <c r="B23" s="1"/>
      <c r="C23" s="1" t="s">
        <v>90</v>
      </c>
      <c r="D23" s="1" t="s">
        <v>91</v>
      </c>
    </row>
    <row r="24" spans="2:5" x14ac:dyDescent="0.25">
      <c r="B24" s="1" t="s">
        <v>82</v>
      </c>
      <c r="C24" s="4">
        <v>5700.24</v>
      </c>
      <c r="D24" s="4">
        <v>6600</v>
      </c>
    </row>
    <row r="25" spans="2:5" x14ac:dyDescent="0.25">
      <c r="B25" s="186" t="s">
        <v>49</v>
      </c>
      <c r="C25" s="259"/>
      <c r="D25" s="259"/>
      <c r="E25" s="11" t="str">
        <f>IF(OR('Tenure Split (SE Wales)'!$F$9='Tenure Split (SE Wales)'!$B$194,'Tenure Split (SE Wales)'!$F$9='Tenure Split (SE Wales)'!$B$195,'Tenure Split (SE Wales)'!$F$9='Tenure Split (SE Wales)'!$B$196),"","&lt;&lt; Please enter your data here")</f>
        <v/>
      </c>
    </row>
  </sheetData>
  <sheetProtection sheet="1" objects="1" scenarios="1"/>
  <mergeCells count="1">
    <mergeCell ref="B2:H5"/>
  </mergeCells>
  <dataValidations count="1">
    <dataValidation type="decimal" operator="greaterThan" allowBlank="1" showInputMessage="1" showErrorMessage="1" sqref="C10:D10 C15:D15 C20:D20 C25:D25">
      <formula1>0</formula1>
    </dataValidation>
  </dataValidation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G85"/>
  <sheetViews>
    <sheetView showGridLines="0" workbookViewId="0">
      <selection activeCell="P14" sqref="P14"/>
    </sheetView>
  </sheetViews>
  <sheetFormatPr defaultRowHeight="15" x14ac:dyDescent="0.25"/>
  <cols>
    <col min="1" max="1" width="2.140625" style="1" customWidth="1"/>
    <col min="2" max="2" width="10.140625" bestFit="1" customWidth="1"/>
    <col min="4" max="8" width="10.140625" bestFit="1" customWidth="1"/>
    <col min="10" max="10" width="53.85546875" customWidth="1"/>
    <col min="12" max="12" width="10.140625" customWidth="1"/>
    <col min="14" max="14" width="9.140625" style="1" hidden="1" customWidth="1"/>
    <col min="19" max="19" width="0" hidden="1" customWidth="1"/>
    <col min="20" max="20" width="9.140625" hidden="1" customWidth="1"/>
    <col min="21" max="26" width="10.140625" hidden="1" customWidth="1"/>
    <col min="27" max="27" width="9.140625" hidden="1" customWidth="1"/>
    <col min="28" max="28" width="9.140625" customWidth="1"/>
    <col min="29" max="29" width="10.140625" customWidth="1"/>
    <col min="30" max="33" width="9.140625" customWidth="1"/>
  </cols>
  <sheetData>
    <row r="1" spans="2:33" s="1" customFormat="1" ht="9.75" customHeight="1" x14ac:dyDescent="0.25"/>
    <row r="2" spans="2:33" ht="26.25" customHeight="1" x14ac:dyDescent="0.25">
      <c r="B2" s="430" t="s">
        <v>268</v>
      </c>
      <c r="C2" s="431"/>
      <c r="D2" s="431"/>
      <c r="E2" s="431"/>
      <c r="F2" s="431"/>
      <c r="G2" s="431"/>
      <c r="H2" s="432"/>
      <c r="J2" s="433" t="s">
        <v>47</v>
      </c>
      <c r="K2" s="434"/>
      <c r="L2" s="434"/>
      <c r="M2" s="435"/>
      <c r="N2" s="67"/>
      <c r="U2" t="s">
        <v>48</v>
      </c>
      <c r="AB2" t="s">
        <v>81</v>
      </c>
    </row>
    <row r="3" spans="2:33" x14ac:dyDescent="0.25">
      <c r="B3" s="34" t="s">
        <v>46</v>
      </c>
      <c r="C3" s="35">
        <v>2017</v>
      </c>
      <c r="D3" s="35">
        <v>2018</v>
      </c>
      <c r="E3" s="35">
        <v>2019</v>
      </c>
      <c r="F3" s="35">
        <v>2020</v>
      </c>
      <c r="G3" s="35">
        <v>2021</v>
      </c>
      <c r="H3" s="57">
        <v>2022</v>
      </c>
      <c r="L3" s="34" t="s">
        <v>46</v>
      </c>
      <c r="M3" s="66">
        <f>K4</f>
        <v>0</v>
      </c>
      <c r="N3" s="68" t="s">
        <v>80</v>
      </c>
      <c r="U3">
        <v>2017</v>
      </c>
      <c r="V3">
        <v>2018</v>
      </c>
      <c r="W3">
        <v>2019</v>
      </c>
      <c r="X3">
        <v>2020</v>
      </c>
      <c r="Y3">
        <v>2021</v>
      </c>
      <c r="Z3">
        <v>2022</v>
      </c>
      <c r="AC3">
        <v>2018</v>
      </c>
      <c r="AD3">
        <v>2019</v>
      </c>
      <c r="AE3">
        <v>2020</v>
      </c>
      <c r="AF3">
        <v>2021</v>
      </c>
      <c r="AG3">
        <v>2022</v>
      </c>
    </row>
    <row r="4" spans="2:33" x14ac:dyDescent="0.25">
      <c r="B4" s="20">
        <v>10</v>
      </c>
      <c r="C4" s="58">
        <v>11621</v>
      </c>
      <c r="D4" s="59">
        <f>C4*(1+'Tenure Split (WALES)'!C$109)+(C$44*(-(50-$B4)*('Tenure Split (WALES)'!C$110/40)))</f>
        <v>11773.82783143445</v>
      </c>
      <c r="E4" s="59">
        <f>D4*(1+'Tenure Split (WALES)'!D$109)+(D$44*(-(50-$B4)*('Tenure Split (WALES)'!D$110/40)))</f>
        <v>11809.116801163171</v>
      </c>
      <c r="F4" s="59">
        <f>E4*(1+'Tenure Split (WALES)'!E$109)+(E$44*(-(50-$B4)*('Tenure Split (WALES)'!E$110/40)))</f>
        <v>11922.185238474955</v>
      </c>
      <c r="G4" s="59">
        <f>F4*(1+'Tenure Split (WALES)'!F$109)+(F$44*(-(50-$B4)*('Tenure Split (WALES)'!F$110/40)))</f>
        <v>12081.02541686565</v>
      </c>
      <c r="H4" s="60">
        <f>G4*(1+'Tenure Split (WALES)'!G$109)+(G$44*(-(50-$B4)*('Tenure Split (WALES)'!G$110/40)))</f>
        <v>12247.045296830907</v>
      </c>
      <c r="I4" s="4"/>
      <c r="J4" s="69" t="str">
        <f>IF('Tenure Split (WALES)'!D8="Other","Choose what year of data you would like to enter:","")</f>
        <v/>
      </c>
      <c r="K4" s="263"/>
      <c r="L4" s="64" t="str">
        <f t="shared" ref="L4:L35" si="0">IF(ISBLANK($K$4),"",B4)</f>
        <v/>
      </c>
      <c r="M4" s="251"/>
      <c r="N4" s="14">
        <f>IF(ISBLANK(M4),1,0)</f>
        <v>1</v>
      </c>
      <c r="O4" s="11" t="str">
        <f>IF(J4="","","&lt;&lt; Enter each percentile data here.")</f>
        <v/>
      </c>
      <c r="T4">
        <f t="shared" ref="T4:T35" si="1">B4</f>
        <v>10</v>
      </c>
      <c r="U4" s="4" t="str">
        <f t="shared" ref="U4:U35" si="2">IF($M$3=$U$3,M4,"")</f>
        <v/>
      </c>
      <c r="V4" s="4" t="e">
        <f>IF($V$3=$M$3,M4,U4*(1+'Tenure Split (WALES)'!C$109)+(U$44*(-(50-$T4)*('Tenure Split (WALES)'!C$110/40))))</f>
        <v>#VALUE!</v>
      </c>
      <c r="W4" s="4" t="e">
        <f>V4*(1+'Tenure Split (WALES)'!D$109)+(V$44*(-(50-$T4)*('Tenure Split (WALES)'!D$110/40)))</f>
        <v>#VALUE!</v>
      </c>
      <c r="X4" s="4" t="e">
        <f>W4*(1+'Tenure Split (WALES)'!E$109)+(W$44*(-(50-$T4)*('Tenure Split (WALES)'!E$110/40)))</f>
        <v>#VALUE!</v>
      </c>
      <c r="Y4" s="4" t="e">
        <f>X4*(1+'Tenure Split (WALES)'!F$109)+(X$44*(-(50-$T4)*('Tenure Split (WALES)'!F$110/40)))</f>
        <v>#VALUE!</v>
      </c>
      <c r="Z4" s="4" t="e">
        <f>Y4*(1+'Tenure Split (WALES)'!G$109)+(Y$44*(-(50-$T4)*('Tenure Split (WALES)'!G$110/40)))</f>
        <v>#VALUE!</v>
      </c>
      <c r="AB4">
        <v>10</v>
      </c>
      <c r="AC4" s="4">
        <f>IF('Tenure Split (WALES)'!$D$8="WG Estimates",'Income (Wales)'!D4,'Income (Wales)'!V4)</f>
        <v>11773.82783143445</v>
      </c>
      <c r="AD4" s="4">
        <f>IF('Tenure Split (WALES)'!$D$8="WG Estimates",'Income (Wales)'!E4,'Income (Wales)'!W4)</f>
        <v>11809.116801163171</v>
      </c>
      <c r="AE4" s="4">
        <f>IF('Tenure Split (WALES)'!$D$8="WG Estimates",'Income (Wales)'!F4,'Income (Wales)'!X4)</f>
        <v>11922.185238474955</v>
      </c>
      <c r="AF4" s="4">
        <f>IF('Tenure Split (WALES)'!$D$8="WG Estimates",'Income (Wales)'!G4,'Income (Wales)'!Y4)</f>
        <v>12081.02541686565</v>
      </c>
      <c r="AG4" s="4">
        <f>IF('Tenure Split (WALES)'!$D$8="WG Estimates",'Income (Wales)'!H4,'Income (Wales)'!Z4)</f>
        <v>12247.045296830907</v>
      </c>
    </row>
    <row r="5" spans="2:33" x14ac:dyDescent="0.25">
      <c r="B5" s="20">
        <v>11</v>
      </c>
      <c r="C5" s="58">
        <v>12235</v>
      </c>
      <c r="D5" s="59">
        <f>C5*(1+'Tenure Split (WALES)'!C$109)+(C$44*(-(50-$B5)*('Tenure Split (WALES)'!C$110/40)))</f>
        <v>12416.006844605712</v>
      </c>
      <c r="E5" s="59">
        <f>D5*(1+'Tenure Split (WALES)'!D$109)+(D$44*(-(50-$B5)*('Tenure Split (WALES)'!D$110/40)))</f>
        <v>12474.492759020501</v>
      </c>
      <c r="F5" s="59">
        <f>E5*(1+'Tenure Split (WALES)'!E$109)+(E$44*(-(50-$B5)*('Tenure Split (WALES)'!E$110/40)))</f>
        <v>12616.245185501255</v>
      </c>
      <c r="G5" s="59">
        <f>F5*(1+'Tenure Split (WALES)'!F$109)+(F$44*(-(50-$B5)*('Tenure Split (WALES)'!F$110/40)))</f>
        <v>12807.907774395331</v>
      </c>
      <c r="H5" s="60">
        <f>G5*(1+'Tenure Split (WALES)'!G$109)+(G$44*(-(50-$B5)*('Tenure Split (WALES)'!G$110/40)))</f>
        <v>13008.939682903003</v>
      </c>
      <c r="J5" s="70" t="str">
        <f>IF(J4="","","You only need to enter one year of data (either 2017 or 2018)")</f>
        <v/>
      </c>
      <c r="L5" s="64" t="str">
        <f t="shared" si="0"/>
        <v/>
      </c>
      <c r="M5" s="251"/>
      <c r="N5" s="14">
        <f t="shared" ref="N5:N68" si="3">IF(ISBLANK(M5),1,0)</f>
        <v>1</v>
      </c>
      <c r="T5" s="1">
        <f t="shared" si="1"/>
        <v>11</v>
      </c>
      <c r="U5" s="4" t="str">
        <f t="shared" si="2"/>
        <v/>
      </c>
      <c r="V5" s="4" t="e">
        <f>IF($V$3=$M$3,M5,U5*(1+'Tenure Split (WALES)'!C$109)+(U$44*(-(50-$T5)*('Tenure Split (WALES)'!C$110/40))))</f>
        <v>#VALUE!</v>
      </c>
      <c r="W5" s="4" t="e">
        <f>V5*(1+'Tenure Split (WALES)'!D$109)+(V$44*(-(50-$T5)*('Tenure Split (WALES)'!D$110/40)))</f>
        <v>#VALUE!</v>
      </c>
      <c r="X5" s="4" t="e">
        <f>W5*(1+'Tenure Split (WALES)'!E$109)+(W$44*(-(50-$T5)*('Tenure Split (WALES)'!E$110/40)))</f>
        <v>#VALUE!</v>
      </c>
      <c r="Y5" s="4" t="e">
        <f>X5*(1+'Tenure Split (WALES)'!F$109)+(X$44*(-(50-$T5)*('Tenure Split (WALES)'!F$110/40)))</f>
        <v>#VALUE!</v>
      </c>
      <c r="Z5" s="4" t="e">
        <f>Y5*(1+'Tenure Split (WALES)'!G$109)+(Y$44*(-(50-$T5)*('Tenure Split (WALES)'!G$110/40)))</f>
        <v>#VALUE!</v>
      </c>
      <c r="AB5">
        <v>11</v>
      </c>
      <c r="AC5" s="4">
        <f>IF('Tenure Split (WALES)'!$D$8="WG Estimates",'Income (Wales)'!D5,'Income (Wales)'!V5)</f>
        <v>12416.006844605712</v>
      </c>
      <c r="AD5" s="4">
        <f>IF('Tenure Split (WALES)'!$D$8="WG Estimates",'Income (Wales)'!E5,'Income (Wales)'!W5)</f>
        <v>12474.492759020501</v>
      </c>
      <c r="AE5" s="4">
        <f>IF('Tenure Split (WALES)'!$D$8="WG Estimates",'Income (Wales)'!F5,'Income (Wales)'!X5)</f>
        <v>12616.245185501255</v>
      </c>
      <c r="AF5" s="4">
        <f>IF('Tenure Split (WALES)'!$D$8="WG Estimates",'Income (Wales)'!G5,'Income (Wales)'!Y5)</f>
        <v>12807.907774395331</v>
      </c>
      <c r="AG5" s="4">
        <f>IF('Tenure Split (WALES)'!$D$8="WG Estimates",'Income (Wales)'!H5,'Income (Wales)'!Z5)</f>
        <v>13008.939682903003</v>
      </c>
    </row>
    <row r="6" spans="2:33" x14ac:dyDescent="0.25">
      <c r="B6" s="20">
        <v>12</v>
      </c>
      <c r="C6" s="58">
        <v>12633</v>
      </c>
      <c r="D6" s="59">
        <f>C6*(1+'Tenure Split (WALES)'!C$109)+(C$44*(-(50-$B6)*('Tenure Split (WALES)'!C$110/40)))</f>
        <v>12834.544347443112</v>
      </c>
      <c r="E6" s="59">
        <f>D6*(1+'Tenure Split (WALES)'!D$109)+(D$44*(-(50-$B6)*('Tenure Split (WALES)'!D$110/40)))</f>
        <v>12910.477116177506</v>
      </c>
      <c r="F6" s="59">
        <f>E6*(1+'Tenure Split (WALES)'!E$109)+(E$44*(-(50-$B6)*('Tenure Split (WALES)'!E$110/40)))</f>
        <v>13073.38879649987</v>
      </c>
      <c r="G6" s="59">
        <f>F6*(1+'Tenure Split (WALES)'!F$109)+(F$44*(-(50-$B6)*('Tenure Split (WALES)'!F$110/40)))</f>
        <v>13289.08755159005</v>
      </c>
      <c r="H6" s="60">
        <f>G6*(1+'Tenure Split (WALES)'!G$109)+(G$44*(-(50-$B6)*('Tenure Split (WALES)'!G$110/40)))</f>
        <v>13515.77950221967</v>
      </c>
      <c r="L6" s="64" t="str">
        <f t="shared" si="0"/>
        <v/>
      </c>
      <c r="M6" s="251"/>
      <c r="N6" s="14">
        <f t="shared" si="3"/>
        <v>1</v>
      </c>
      <c r="T6" s="1">
        <f t="shared" si="1"/>
        <v>12</v>
      </c>
      <c r="U6" s="4" t="str">
        <f t="shared" si="2"/>
        <v/>
      </c>
      <c r="V6" s="4" t="e">
        <f>IF($V$3=$M$3,M6,U6*(1+'Tenure Split (WALES)'!C$109)+(U$44*(-(50-$T6)*('Tenure Split (WALES)'!C$110/40))))</f>
        <v>#VALUE!</v>
      </c>
      <c r="W6" s="4" t="e">
        <f>V6*(1+'Tenure Split (WALES)'!D$109)+(V$44*(-(50-$T6)*('Tenure Split (WALES)'!D$110/40)))</f>
        <v>#VALUE!</v>
      </c>
      <c r="X6" s="4" t="e">
        <f>W6*(1+'Tenure Split (WALES)'!E$109)+(W$44*(-(50-$T6)*('Tenure Split (WALES)'!E$110/40)))</f>
        <v>#VALUE!</v>
      </c>
      <c r="Y6" s="4" t="e">
        <f>X6*(1+'Tenure Split (WALES)'!F$109)+(X$44*(-(50-$T6)*('Tenure Split (WALES)'!F$110/40)))</f>
        <v>#VALUE!</v>
      </c>
      <c r="Z6" s="4" t="e">
        <f>Y6*(1+'Tenure Split (WALES)'!G$109)+(Y$44*(-(50-$T6)*('Tenure Split (WALES)'!G$110/40)))</f>
        <v>#VALUE!</v>
      </c>
      <c r="AB6">
        <v>12</v>
      </c>
      <c r="AC6" s="4">
        <f>IF('Tenure Split (WALES)'!$D$8="WG Estimates",'Income (Wales)'!D6,'Income (Wales)'!V6)</f>
        <v>12834.544347443112</v>
      </c>
      <c r="AD6" s="4">
        <f>IF('Tenure Split (WALES)'!$D$8="WG Estimates",'Income (Wales)'!E6,'Income (Wales)'!W6)</f>
        <v>12910.477116177506</v>
      </c>
      <c r="AE6" s="4">
        <f>IF('Tenure Split (WALES)'!$D$8="WG Estimates",'Income (Wales)'!F6,'Income (Wales)'!X6)</f>
        <v>13073.38879649987</v>
      </c>
      <c r="AF6" s="4">
        <f>IF('Tenure Split (WALES)'!$D$8="WG Estimates",'Income (Wales)'!G6,'Income (Wales)'!Y6)</f>
        <v>13289.08755159005</v>
      </c>
      <c r="AG6" s="4">
        <f>IF('Tenure Split (WALES)'!$D$8="WG Estimates",'Income (Wales)'!H6,'Income (Wales)'!Z6)</f>
        <v>13515.77950221967</v>
      </c>
    </row>
    <row r="7" spans="2:33" x14ac:dyDescent="0.25">
      <c r="B7" s="20">
        <v>13</v>
      </c>
      <c r="C7" s="58">
        <v>12919.2</v>
      </c>
      <c r="D7" s="59">
        <f>C7*(1+'Tenure Split (WALES)'!C$109)+(C$44*(-(50-$B7)*('Tenure Split (WALES)'!C$110/40)))</f>
        <v>13137.326661135485</v>
      </c>
      <c r="E7" s="59">
        <f>D7*(1+'Tenure Split (WALES)'!D$109)+(D$44*(-(50-$B7)*('Tenure Split (WALES)'!D$110/40)))</f>
        <v>13227.730080009063</v>
      </c>
      <c r="F7" s="59">
        <f>E7*(1+'Tenure Split (WALES)'!E$109)+(E$44*(-(50-$B7)*('Tenure Split (WALES)'!E$110/40)))</f>
        <v>13407.906266906375</v>
      </c>
      <c r="G7" s="59">
        <f>F7*(1+'Tenure Split (WALES)'!F$109)+(F$44*(-(50-$B7)*('Tenure Split (WALES)'!F$110/40)))</f>
        <v>13643.093493222503</v>
      </c>
      <c r="H7" s="60">
        <f>G7*(1+'Tenure Split (WALES)'!G$109)+(G$44*(-(50-$B7)*('Tenure Split (WALES)'!G$110/40)))</f>
        <v>13890.60496707681</v>
      </c>
      <c r="J7" s="11" t="str">
        <f>IF(J4="","",IF(N85=1,"User input not yet complete",IF(N85=0,"User input complete","")))</f>
        <v/>
      </c>
      <c r="L7" s="64" t="str">
        <f t="shared" si="0"/>
        <v/>
      </c>
      <c r="M7" s="251"/>
      <c r="N7" s="14">
        <f t="shared" si="3"/>
        <v>1</v>
      </c>
      <c r="T7" s="1">
        <f t="shared" si="1"/>
        <v>13</v>
      </c>
      <c r="U7" s="4" t="str">
        <f t="shared" si="2"/>
        <v/>
      </c>
      <c r="V7" s="4" t="e">
        <f>IF($V$3=$M$3,M7,U7*(1+'Tenure Split (WALES)'!C$109)+(U$44*(-(50-$T7)*('Tenure Split (WALES)'!C$110/40))))</f>
        <v>#VALUE!</v>
      </c>
      <c r="W7" s="4" t="e">
        <f>V7*(1+'Tenure Split (WALES)'!D$109)+(V$44*(-(50-$T7)*('Tenure Split (WALES)'!D$110/40)))</f>
        <v>#VALUE!</v>
      </c>
      <c r="X7" s="4" t="e">
        <f>W7*(1+'Tenure Split (WALES)'!E$109)+(W$44*(-(50-$T7)*('Tenure Split (WALES)'!E$110/40)))</f>
        <v>#VALUE!</v>
      </c>
      <c r="Y7" s="4" t="e">
        <f>X7*(1+'Tenure Split (WALES)'!F$109)+(X$44*(-(50-$T7)*('Tenure Split (WALES)'!F$110/40)))</f>
        <v>#VALUE!</v>
      </c>
      <c r="Z7" s="4" t="e">
        <f>Y7*(1+'Tenure Split (WALES)'!G$109)+(Y$44*(-(50-$T7)*('Tenure Split (WALES)'!G$110/40)))</f>
        <v>#VALUE!</v>
      </c>
      <c r="AB7">
        <v>13</v>
      </c>
      <c r="AC7" s="4">
        <f>IF('Tenure Split (WALES)'!$D$8="WG Estimates",'Income (Wales)'!D7,'Income (Wales)'!V7)</f>
        <v>13137.326661135485</v>
      </c>
      <c r="AD7" s="4">
        <f>IF('Tenure Split (WALES)'!$D$8="WG Estimates",'Income (Wales)'!E7,'Income (Wales)'!W7)</f>
        <v>13227.730080009063</v>
      </c>
      <c r="AE7" s="4">
        <f>IF('Tenure Split (WALES)'!$D$8="WG Estimates",'Income (Wales)'!F7,'Income (Wales)'!X7)</f>
        <v>13407.906266906375</v>
      </c>
      <c r="AF7" s="4">
        <f>IF('Tenure Split (WALES)'!$D$8="WG Estimates",'Income (Wales)'!G7,'Income (Wales)'!Y7)</f>
        <v>13643.093493222503</v>
      </c>
      <c r="AG7" s="4">
        <f>IF('Tenure Split (WALES)'!$D$8="WG Estimates",'Income (Wales)'!H7,'Income (Wales)'!Z7)</f>
        <v>13890.60496707681</v>
      </c>
    </row>
    <row r="8" spans="2:33" x14ac:dyDescent="0.25">
      <c r="B8" s="20">
        <v>14</v>
      </c>
      <c r="C8" s="58">
        <v>12974.75</v>
      </c>
      <c r="D8" s="59">
        <f>C8*(1+'Tenure Split (WALES)'!C$109)+(C$44*(-(50-$B8)*('Tenure Split (WALES)'!C$110/40)))</f>
        <v>13201.299186131066</v>
      </c>
      <c r="E8" s="59">
        <f>D8*(1+'Tenure Split (WALES)'!D$109)+(D$44*(-(50-$B8)*('Tenure Split (WALES)'!D$110/40)))</f>
        <v>13300.033170222416</v>
      </c>
      <c r="F8" s="59">
        <f>E8*(1+'Tenure Split (WALES)'!E$109)+(E$44*(-(50-$B8)*('Tenure Split (WALES)'!E$110/40)))</f>
        <v>13489.438770161083</v>
      </c>
      <c r="G8" s="59">
        <f>F8*(1+'Tenure Split (WALES)'!F$109)+(F$44*(-(50-$B8)*('Tenure Split (WALES)'!F$110/40)))</f>
        <v>13734.732304511152</v>
      </c>
      <c r="H8" s="60">
        <f>G8*(1+'Tenure Split (WALES)'!G$109)+(G$44*(-(50-$B8)*('Tenure Split (WALES)'!G$110/40)))</f>
        <v>13993.077025349954</v>
      </c>
      <c r="L8" s="64" t="str">
        <f t="shared" si="0"/>
        <v/>
      </c>
      <c r="M8" s="251"/>
      <c r="N8" s="14">
        <f t="shared" si="3"/>
        <v>1</v>
      </c>
      <c r="T8" s="1">
        <f t="shared" si="1"/>
        <v>14</v>
      </c>
      <c r="U8" s="4" t="str">
        <f t="shared" si="2"/>
        <v/>
      </c>
      <c r="V8" s="4" t="e">
        <f>IF($V$3=$M$3,M8,U8*(1+'Tenure Split (WALES)'!C$109)+(U$44*(-(50-$T8)*('Tenure Split (WALES)'!C$110/40))))</f>
        <v>#VALUE!</v>
      </c>
      <c r="W8" s="4" t="e">
        <f>V8*(1+'Tenure Split (WALES)'!D$109)+(V$44*(-(50-$T8)*('Tenure Split (WALES)'!D$110/40)))</f>
        <v>#VALUE!</v>
      </c>
      <c r="X8" s="4" t="e">
        <f>W8*(1+'Tenure Split (WALES)'!E$109)+(W$44*(-(50-$T8)*('Tenure Split (WALES)'!E$110/40)))</f>
        <v>#VALUE!</v>
      </c>
      <c r="Y8" s="4" t="e">
        <f>X8*(1+'Tenure Split (WALES)'!F$109)+(X$44*(-(50-$T8)*('Tenure Split (WALES)'!F$110/40)))</f>
        <v>#VALUE!</v>
      </c>
      <c r="Z8" s="4" t="e">
        <f>Y8*(1+'Tenure Split (WALES)'!G$109)+(Y$44*(-(50-$T8)*('Tenure Split (WALES)'!G$110/40)))</f>
        <v>#VALUE!</v>
      </c>
      <c r="AB8">
        <v>14</v>
      </c>
      <c r="AC8" s="4">
        <f>IF('Tenure Split (WALES)'!$D$8="WG Estimates",'Income (Wales)'!D8,'Income (Wales)'!V8)</f>
        <v>13201.299186131066</v>
      </c>
      <c r="AD8" s="4">
        <f>IF('Tenure Split (WALES)'!$D$8="WG Estimates",'Income (Wales)'!E8,'Income (Wales)'!W8)</f>
        <v>13300.033170222416</v>
      </c>
      <c r="AE8" s="4">
        <f>IF('Tenure Split (WALES)'!$D$8="WG Estimates",'Income (Wales)'!F8,'Income (Wales)'!X8)</f>
        <v>13489.438770161083</v>
      </c>
      <c r="AF8" s="4">
        <f>IF('Tenure Split (WALES)'!$D$8="WG Estimates",'Income (Wales)'!G8,'Income (Wales)'!Y8)</f>
        <v>13734.732304511152</v>
      </c>
      <c r="AG8" s="4">
        <f>IF('Tenure Split (WALES)'!$D$8="WG Estimates",'Income (Wales)'!H8,'Income (Wales)'!Z8)</f>
        <v>13993.077025349954</v>
      </c>
    </row>
    <row r="9" spans="2:33" x14ac:dyDescent="0.25">
      <c r="B9" s="20">
        <v>15</v>
      </c>
      <c r="C9" s="58">
        <v>13210.1</v>
      </c>
      <c r="D9" s="59">
        <f>C9*(1+'Tenure Split (WALES)'!C$109)+(C$44*(-(50-$B9)*('Tenure Split (WALES)'!C$110/40)))</f>
        <v>13451.43256093234</v>
      </c>
      <c r="E9" s="59">
        <f>D9*(1+'Tenure Split (WALES)'!D$109)+(D$44*(-(50-$B9)*('Tenure Split (WALES)'!D$110/40)))</f>
        <v>13563.283528055772</v>
      </c>
      <c r="F9" s="59">
        <f>E9*(1+'Tenure Split (WALES)'!E$109)+(E$44*(-(50-$B9)*('Tenure Split (WALES)'!E$110/40)))</f>
        <v>13768.182186461072</v>
      </c>
      <c r="G9" s="59">
        <f>F9*(1+'Tenure Split (WALES)'!F$109)+(F$44*(-(50-$B9)*('Tenure Split (WALES)'!F$110/40)))</f>
        <v>14030.89576368975</v>
      </c>
      <c r="H9" s="60">
        <f>G9*(1+'Tenure Split (WALES)'!G$109)+(G$44*(-(50-$B9)*('Tenure Split (WALES)'!G$110/40)))</f>
        <v>14307.858394283421</v>
      </c>
      <c r="J9" s="436" t="str">
        <f>IF(J4="","If you would like to use your own income distribution data, please change your dropdown selection.","")</f>
        <v>If you would like to use your own income distribution data, please change your dropdown selection.</v>
      </c>
      <c r="L9" s="64" t="str">
        <f t="shared" si="0"/>
        <v/>
      </c>
      <c r="M9" s="251"/>
      <c r="N9" s="14">
        <f t="shared" si="3"/>
        <v>1</v>
      </c>
      <c r="T9" s="1">
        <f t="shared" si="1"/>
        <v>15</v>
      </c>
      <c r="U9" s="4" t="str">
        <f t="shared" si="2"/>
        <v/>
      </c>
      <c r="V9" s="4" t="e">
        <f>IF($V$3=$M$3,M9,U9*(1+'Tenure Split (WALES)'!C$109)+(U$44*(-(50-$T9)*('Tenure Split (WALES)'!C$110/40))))</f>
        <v>#VALUE!</v>
      </c>
      <c r="W9" s="4" t="e">
        <f>V9*(1+'Tenure Split (WALES)'!D$109)+(V$44*(-(50-$T9)*('Tenure Split (WALES)'!D$110/40)))</f>
        <v>#VALUE!</v>
      </c>
      <c r="X9" s="4" t="e">
        <f>W9*(1+'Tenure Split (WALES)'!E$109)+(W$44*(-(50-$T9)*('Tenure Split (WALES)'!E$110/40)))</f>
        <v>#VALUE!</v>
      </c>
      <c r="Y9" s="4" t="e">
        <f>X9*(1+'Tenure Split (WALES)'!F$109)+(X$44*(-(50-$T9)*('Tenure Split (WALES)'!F$110/40)))</f>
        <v>#VALUE!</v>
      </c>
      <c r="Z9" s="4" t="e">
        <f>Y9*(1+'Tenure Split (WALES)'!G$109)+(Y$44*(-(50-$T9)*('Tenure Split (WALES)'!G$110/40)))</f>
        <v>#VALUE!</v>
      </c>
      <c r="AB9">
        <v>15</v>
      </c>
      <c r="AC9" s="4">
        <f>IF('Tenure Split (WALES)'!$D$8="WG Estimates",'Income (Wales)'!D9,'Income (Wales)'!V9)</f>
        <v>13451.43256093234</v>
      </c>
      <c r="AD9" s="4">
        <f>IF('Tenure Split (WALES)'!$D$8="WG Estimates",'Income (Wales)'!E9,'Income (Wales)'!W9)</f>
        <v>13563.283528055772</v>
      </c>
      <c r="AE9" s="4">
        <f>IF('Tenure Split (WALES)'!$D$8="WG Estimates",'Income (Wales)'!F9,'Income (Wales)'!X9)</f>
        <v>13768.182186461072</v>
      </c>
      <c r="AF9" s="4">
        <f>IF('Tenure Split (WALES)'!$D$8="WG Estimates",'Income (Wales)'!G9,'Income (Wales)'!Y9)</f>
        <v>14030.89576368975</v>
      </c>
      <c r="AG9" s="4">
        <f>IF('Tenure Split (WALES)'!$D$8="WG Estimates",'Income (Wales)'!H9,'Income (Wales)'!Z9)</f>
        <v>14307.858394283421</v>
      </c>
    </row>
    <row r="10" spans="2:33" x14ac:dyDescent="0.25">
      <c r="B10" s="20">
        <v>16</v>
      </c>
      <c r="C10" s="58">
        <v>13605.1</v>
      </c>
      <c r="D10" s="59">
        <f>C10*(1+'Tenure Split (WALES)'!C$109)+(C$44*(-(50-$B10)*('Tenure Split (WALES)'!C$110/40)))</f>
        <v>13866.86393168177</v>
      </c>
      <c r="E10" s="59">
        <f>D10*(1+'Tenure Split (WALES)'!D$109)+(D$44*(-(50-$B10)*('Tenure Split (WALES)'!D$110/40)))</f>
        <v>13996.081890758605</v>
      </c>
      <c r="F10" s="59">
        <f>E10*(1+'Tenure Split (WALES)'!E$109)+(E$44*(-(50-$B10)*('Tenure Split (WALES)'!E$110/40)))</f>
        <v>14222.035292792634</v>
      </c>
      <c r="G10" s="59">
        <f>F10*(1+'Tenure Split (WALES)'!F$109)+(F$44*(-(50-$B10)*('Tenure Split (WALES)'!F$110/40)))</f>
        <v>14508.663005046483</v>
      </c>
      <c r="H10" s="60">
        <f>G10*(1+'Tenure Split (WALES)'!G$109)+(G$44*(-(50-$B10)*('Tenure Split (WALES)'!G$110/40)))</f>
        <v>14811.155789061819</v>
      </c>
      <c r="J10" s="436"/>
      <c r="L10" s="64" t="str">
        <f t="shared" si="0"/>
        <v/>
      </c>
      <c r="M10" s="251"/>
      <c r="N10" s="14">
        <f t="shared" si="3"/>
        <v>1</v>
      </c>
      <c r="T10" s="1">
        <f t="shared" si="1"/>
        <v>16</v>
      </c>
      <c r="U10" s="4" t="str">
        <f t="shared" si="2"/>
        <v/>
      </c>
      <c r="V10" s="4" t="e">
        <f>IF($V$3=$M$3,M10,U10*(1+'Tenure Split (WALES)'!C$109)+(U$44*(-(50-$T10)*('Tenure Split (WALES)'!C$110/40))))</f>
        <v>#VALUE!</v>
      </c>
      <c r="W10" s="4" t="e">
        <f>V10*(1+'Tenure Split (WALES)'!D$109)+(V$44*(-(50-$T10)*('Tenure Split (WALES)'!D$110/40)))</f>
        <v>#VALUE!</v>
      </c>
      <c r="X10" s="4" t="e">
        <f>W10*(1+'Tenure Split (WALES)'!E$109)+(W$44*(-(50-$T10)*('Tenure Split (WALES)'!E$110/40)))</f>
        <v>#VALUE!</v>
      </c>
      <c r="Y10" s="4" t="e">
        <f>X10*(1+'Tenure Split (WALES)'!F$109)+(X$44*(-(50-$T10)*('Tenure Split (WALES)'!F$110/40)))</f>
        <v>#VALUE!</v>
      </c>
      <c r="Z10" s="4" t="e">
        <f>Y10*(1+'Tenure Split (WALES)'!G$109)+(Y$44*(-(50-$T10)*('Tenure Split (WALES)'!G$110/40)))</f>
        <v>#VALUE!</v>
      </c>
      <c r="AB10">
        <v>16</v>
      </c>
      <c r="AC10" s="4">
        <f>IF('Tenure Split (WALES)'!$D$8="WG Estimates",'Income (Wales)'!D10,'Income (Wales)'!V10)</f>
        <v>13866.86393168177</v>
      </c>
      <c r="AD10" s="4">
        <f>IF('Tenure Split (WALES)'!$D$8="WG Estimates",'Income (Wales)'!E10,'Income (Wales)'!W10)</f>
        <v>13996.081890758605</v>
      </c>
      <c r="AE10" s="4">
        <f>IF('Tenure Split (WALES)'!$D$8="WG Estimates",'Income (Wales)'!F10,'Income (Wales)'!X10)</f>
        <v>14222.035292792634</v>
      </c>
      <c r="AF10" s="4">
        <f>IF('Tenure Split (WALES)'!$D$8="WG Estimates",'Income (Wales)'!G10,'Income (Wales)'!Y10)</f>
        <v>14508.663005046483</v>
      </c>
      <c r="AG10" s="4">
        <f>IF('Tenure Split (WALES)'!$D$8="WG Estimates",'Income (Wales)'!H10,'Income (Wales)'!Z10)</f>
        <v>14811.155789061819</v>
      </c>
    </row>
    <row r="11" spans="2:33" x14ac:dyDescent="0.25">
      <c r="B11" s="20">
        <v>17</v>
      </c>
      <c r="C11" s="58">
        <v>13977.5</v>
      </c>
      <c r="D11" s="59">
        <f>C11*(1+'Tenure Split (WALES)'!C$109)+(C$44*(-(50-$B11)*('Tenure Split (WALES)'!C$110/40)))</f>
        <v>14258.895774035152</v>
      </c>
      <c r="E11" s="59">
        <f>D11*(1+'Tenure Split (WALES)'!D$109)+(D$44*(-(50-$B11)*('Tenure Split (WALES)'!D$110/40)))</f>
        <v>14404.87909524001</v>
      </c>
      <c r="F11" s="59">
        <f>E11*(1+'Tenure Split (WALES)'!E$109)+(E$44*(-(50-$B11)*('Tenure Split (WALES)'!E$110/40)))</f>
        <v>14651.099930632407</v>
      </c>
      <c r="G11" s="59">
        <f>F11*(1+'Tenure Split (WALES)'!F$109)+(F$44*(-(50-$B11)*('Tenure Split (WALES)'!F$110/40)))</f>
        <v>14960.722476423718</v>
      </c>
      <c r="H11" s="60">
        <f>G11*(1+'Tenure Split (WALES)'!G$109)+(G$44*(-(50-$B11)*('Tenure Split (WALES)'!G$110/40)))</f>
        <v>15287.76691898524</v>
      </c>
      <c r="L11" s="64" t="str">
        <f t="shared" si="0"/>
        <v/>
      </c>
      <c r="M11" s="251"/>
      <c r="N11" s="14">
        <f t="shared" si="3"/>
        <v>1</v>
      </c>
      <c r="T11" s="1">
        <f t="shared" si="1"/>
        <v>17</v>
      </c>
      <c r="U11" s="4" t="str">
        <f t="shared" si="2"/>
        <v/>
      </c>
      <c r="V11" s="4" t="e">
        <f>IF($V$3=$M$3,M11,U11*(1+'Tenure Split (WALES)'!C$109)+(U$44*(-(50-$T11)*('Tenure Split (WALES)'!C$110/40))))</f>
        <v>#VALUE!</v>
      </c>
      <c r="W11" s="4" t="e">
        <f>V11*(1+'Tenure Split (WALES)'!D$109)+(V$44*(-(50-$T11)*('Tenure Split (WALES)'!D$110/40)))</f>
        <v>#VALUE!</v>
      </c>
      <c r="X11" s="4" t="e">
        <f>W11*(1+'Tenure Split (WALES)'!E$109)+(W$44*(-(50-$T11)*('Tenure Split (WALES)'!E$110/40)))</f>
        <v>#VALUE!</v>
      </c>
      <c r="Y11" s="4" t="e">
        <f>X11*(1+'Tenure Split (WALES)'!F$109)+(X$44*(-(50-$T11)*('Tenure Split (WALES)'!F$110/40)))</f>
        <v>#VALUE!</v>
      </c>
      <c r="Z11" s="4" t="e">
        <f>Y11*(1+'Tenure Split (WALES)'!G$109)+(Y$44*(-(50-$T11)*('Tenure Split (WALES)'!G$110/40)))</f>
        <v>#VALUE!</v>
      </c>
      <c r="AB11">
        <v>17</v>
      </c>
      <c r="AC11" s="4">
        <f>IF('Tenure Split (WALES)'!$D$8="WG Estimates",'Income (Wales)'!D11,'Income (Wales)'!V11)</f>
        <v>14258.895774035152</v>
      </c>
      <c r="AD11" s="4">
        <f>IF('Tenure Split (WALES)'!$D$8="WG Estimates",'Income (Wales)'!E11,'Income (Wales)'!W11)</f>
        <v>14404.87909524001</v>
      </c>
      <c r="AE11" s="4">
        <f>IF('Tenure Split (WALES)'!$D$8="WG Estimates",'Income (Wales)'!F11,'Income (Wales)'!X11)</f>
        <v>14651.099930632407</v>
      </c>
      <c r="AF11" s="4">
        <f>IF('Tenure Split (WALES)'!$D$8="WG Estimates",'Income (Wales)'!G11,'Income (Wales)'!Y11)</f>
        <v>14960.722476423718</v>
      </c>
      <c r="AG11" s="4">
        <f>IF('Tenure Split (WALES)'!$D$8="WG Estimates",'Income (Wales)'!H11,'Income (Wales)'!Z11)</f>
        <v>15287.76691898524</v>
      </c>
    </row>
    <row r="12" spans="2:33" x14ac:dyDescent="0.25">
      <c r="B12" s="20">
        <v>18</v>
      </c>
      <c r="C12" s="58">
        <v>14242.75</v>
      </c>
      <c r="D12" s="59">
        <f>C12*(1+'Tenure Split (WALES)'!C$109)+(C$44*(-(50-$B12)*('Tenure Split (WALES)'!C$110/40)))</f>
        <v>14539.986931979865</v>
      </c>
      <c r="E12" s="59">
        <f>D12*(1+'Tenure Split (WALES)'!D$109)+(D$44*(-(50-$B12)*('Tenure Split (WALES)'!D$110/40)))</f>
        <v>14699.88319779994</v>
      </c>
      <c r="F12" s="59">
        <f>E12*(1+'Tenure Split (WALES)'!E$109)+(E$44*(-(50-$B12)*('Tenure Split (WALES)'!E$110/40)))</f>
        <v>14962.638710114004</v>
      </c>
      <c r="G12" s="59">
        <f>F12*(1+'Tenure Split (WALES)'!F$109)+(F$44*(-(50-$B12)*('Tenure Split (WALES)'!F$110/40)))</f>
        <v>15290.897542787572</v>
      </c>
      <c r="H12" s="60">
        <f>G12*(1+'Tenure Split (WALES)'!G$109)+(G$44*(-(50-$B12)*('Tenure Split (WALES)'!G$110/40)))</f>
        <v>15637.854452483463</v>
      </c>
      <c r="L12" s="64" t="str">
        <f t="shared" si="0"/>
        <v/>
      </c>
      <c r="M12" s="251"/>
      <c r="N12" s="14">
        <f t="shared" si="3"/>
        <v>1</v>
      </c>
      <c r="T12" s="1">
        <f t="shared" si="1"/>
        <v>18</v>
      </c>
      <c r="U12" s="4" t="str">
        <f t="shared" si="2"/>
        <v/>
      </c>
      <c r="V12" s="4" t="e">
        <f>IF($V$3=$M$3,M12,U12*(1+'Tenure Split (WALES)'!C$109)+(U$44*(-(50-$T12)*('Tenure Split (WALES)'!C$110/40))))</f>
        <v>#VALUE!</v>
      </c>
      <c r="W12" s="4" t="e">
        <f>V12*(1+'Tenure Split (WALES)'!D$109)+(V$44*(-(50-$T12)*('Tenure Split (WALES)'!D$110/40)))</f>
        <v>#VALUE!</v>
      </c>
      <c r="X12" s="4" t="e">
        <f>W12*(1+'Tenure Split (WALES)'!E$109)+(W$44*(-(50-$T12)*('Tenure Split (WALES)'!E$110/40)))</f>
        <v>#VALUE!</v>
      </c>
      <c r="Y12" s="4" t="e">
        <f>X12*(1+'Tenure Split (WALES)'!F$109)+(X$44*(-(50-$T12)*('Tenure Split (WALES)'!F$110/40)))</f>
        <v>#VALUE!</v>
      </c>
      <c r="Z12" s="4" t="e">
        <f>Y12*(1+'Tenure Split (WALES)'!G$109)+(Y$44*(-(50-$T12)*('Tenure Split (WALES)'!G$110/40)))</f>
        <v>#VALUE!</v>
      </c>
      <c r="AB12">
        <v>18</v>
      </c>
      <c r="AC12" s="4">
        <f>IF('Tenure Split (WALES)'!$D$8="WG Estimates",'Income (Wales)'!D12,'Income (Wales)'!V12)</f>
        <v>14539.986931979865</v>
      </c>
      <c r="AD12" s="4">
        <f>IF('Tenure Split (WALES)'!$D$8="WG Estimates",'Income (Wales)'!E12,'Income (Wales)'!W12)</f>
        <v>14699.88319779994</v>
      </c>
      <c r="AE12" s="4">
        <f>IF('Tenure Split (WALES)'!$D$8="WG Estimates",'Income (Wales)'!F12,'Income (Wales)'!X12)</f>
        <v>14962.638710114004</v>
      </c>
      <c r="AF12" s="4">
        <f>IF('Tenure Split (WALES)'!$D$8="WG Estimates",'Income (Wales)'!G12,'Income (Wales)'!Y12)</f>
        <v>15290.897542787572</v>
      </c>
      <c r="AG12" s="4">
        <f>IF('Tenure Split (WALES)'!$D$8="WG Estimates",'Income (Wales)'!H12,'Income (Wales)'!Z12)</f>
        <v>15637.854452483463</v>
      </c>
    </row>
    <row r="13" spans="2:33" x14ac:dyDescent="0.25">
      <c r="B13" s="20">
        <v>19</v>
      </c>
      <c r="C13" s="58">
        <v>14642.5</v>
      </c>
      <c r="D13" s="59">
        <f>C13*(1+'Tenure Split (WALES)'!C$109)+(C$44*(-(50-$B13)*('Tenure Split (WALES)'!C$110/40)))</f>
        <v>14960.336345201913</v>
      </c>
      <c r="E13" s="59">
        <f>D13*(1+'Tenure Split (WALES)'!D$109)+(D$44*(-(50-$B13)*('Tenure Split (WALES)'!D$110/40)))</f>
        <v>15137.726051721875</v>
      </c>
      <c r="F13" s="59">
        <f>E13*(1+'Tenure Split (WALES)'!E$109)+(E$44*(-(50-$B13)*('Tenure Split (WALES)'!E$110/40)))</f>
        <v>15421.701782168397</v>
      </c>
      <c r="G13" s="59">
        <f>F13*(1+'Tenure Split (WALES)'!F$109)+(F$44*(-(50-$B13)*('Tenure Split (WALES)'!F$110/40)))</f>
        <v>15774.06796588778</v>
      </c>
      <c r="H13" s="60">
        <f>G13*(1+'Tenure Split (WALES)'!G$109)+(G$44*(-(50-$B13)*('Tenure Split (WALES)'!G$110/40)))</f>
        <v>16146.760686114116</v>
      </c>
      <c r="L13" s="64" t="str">
        <f t="shared" si="0"/>
        <v/>
      </c>
      <c r="M13" s="251"/>
      <c r="N13" s="14">
        <f t="shared" si="3"/>
        <v>1</v>
      </c>
      <c r="T13" s="1">
        <f t="shared" si="1"/>
        <v>19</v>
      </c>
      <c r="U13" s="4" t="str">
        <f t="shared" si="2"/>
        <v/>
      </c>
      <c r="V13" s="4" t="e">
        <f>IF($V$3=$M$3,M13,U13*(1+'Tenure Split (WALES)'!C$109)+(U$44*(-(50-$T13)*('Tenure Split (WALES)'!C$110/40))))</f>
        <v>#VALUE!</v>
      </c>
      <c r="W13" s="4" t="e">
        <f>V13*(1+'Tenure Split (WALES)'!D$109)+(V$44*(-(50-$T13)*('Tenure Split (WALES)'!D$110/40)))</f>
        <v>#VALUE!</v>
      </c>
      <c r="X13" s="4" t="e">
        <f>W13*(1+'Tenure Split (WALES)'!E$109)+(W$44*(-(50-$T13)*('Tenure Split (WALES)'!E$110/40)))</f>
        <v>#VALUE!</v>
      </c>
      <c r="Y13" s="4" t="e">
        <f>X13*(1+'Tenure Split (WALES)'!F$109)+(X$44*(-(50-$T13)*('Tenure Split (WALES)'!F$110/40)))</f>
        <v>#VALUE!</v>
      </c>
      <c r="Z13" s="4" t="e">
        <f>Y13*(1+'Tenure Split (WALES)'!G$109)+(Y$44*(-(50-$T13)*('Tenure Split (WALES)'!G$110/40)))</f>
        <v>#VALUE!</v>
      </c>
      <c r="AB13">
        <v>19</v>
      </c>
      <c r="AC13" s="4">
        <f>IF('Tenure Split (WALES)'!$D$8="WG Estimates",'Income (Wales)'!D13,'Income (Wales)'!V13)</f>
        <v>14960.336345201913</v>
      </c>
      <c r="AD13" s="4">
        <f>IF('Tenure Split (WALES)'!$D$8="WG Estimates",'Income (Wales)'!E13,'Income (Wales)'!W13)</f>
        <v>15137.726051721875</v>
      </c>
      <c r="AE13" s="4">
        <f>IF('Tenure Split (WALES)'!$D$8="WG Estimates",'Income (Wales)'!F13,'Income (Wales)'!X13)</f>
        <v>15421.701782168397</v>
      </c>
      <c r="AF13" s="4">
        <f>IF('Tenure Split (WALES)'!$D$8="WG Estimates",'Income (Wales)'!G13,'Income (Wales)'!Y13)</f>
        <v>15774.06796588778</v>
      </c>
      <c r="AG13" s="4">
        <f>IF('Tenure Split (WALES)'!$D$8="WG Estimates",'Income (Wales)'!H13,'Income (Wales)'!Z13)</f>
        <v>16146.760686114116</v>
      </c>
    </row>
    <row r="14" spans="2:33" x14ac:dyDescent="0.25">
      <c r="B14" s="20">
        <v>20</v>
      </c>
      <c r="C14" s="58">
        <v>14900</v>
      </c>
      <c r="D14" s="59">
        <f>C14*(1+'Tenure Split (WALES)'!C$109)+(C$44*(-(50-$B14)*('Tenure Split (WALES)'!C$110/40)))</f>
        <v>15233.403328586033</v>
      </c>
      <c r="E14" s="59">
        <f>D14*(1+'Tenure Split (WALES)'!D$109)+(D$44*(-(50-$B14)*('Tenure Split (WALES)'!D$110/40)))</f>
        <v>15424.499668608523</v>
      </c>
      <c r="F14" s="59">
        <f>E14*(1+'Tenure Split (WALES)'!E$109)+(E$44*(-(50-$B14)*('Tenure Split (WALES)'!E$110/40)))</f>
        <v>15724.740091260108</v>
      </c>
      <c r="G14" s="59">
        <f>F14*(1+'Tenure Split (WALES)'!F$109)+(F$44*(-(50-$B14)*('Tenure Split (WALES)'!F$110/40)))</f>
        <v>16095.427314670167</v>
      </c>
      <c r="H14" s="60">
        <f>G14*(1+'Tenure Split (WALES)'!G$109)+(G$44*(-(50-$B14)*('Tenure Split (WALES)'!G$110/40)))</f>
        <v>16487.696956221807</v>
      </c>
      <c r="L14" s="64" t="str">
        <f t="shared" si="0"/>
        <v/>
      </c>
      <c r="M14" s="251"/>
      <c r="N14" s="14">
        <f t="shared" si="3"/>
        <v>1</v>
      </c>
      <c r="T14" s="1">
        <f t="shared" si="1"/>
        <v>20</v>
      </c>
      <c r="U14" s="4" t="str">
        <f t="shared" si="2"/>
        <v/>
      </c>
      <c r="V14" s="4" t="e">
        <f>IF($V$3=$M$3,M14,U14*(1+'Tenure Split (WALES)'!C$109)+(U$44*(-(50-$T14)*('Tenure Split (WALES)'!C$110/40))))</f>
        <v>#VALUE!</v>
      </c>
      <c r="W14" s="4" t="e">
        <f>V14*(1+'Tenure Split (WALES)'!D$109)+(V$44*(-(50-$T14)*('Tenure Split (WALES)'!D$110/40)))</f>
        <v>#VALUE!</v>
      </c>
      <c r="X14" s="4" t="e">
        <f>W14*(1+'Tenure Split (WALES)'!E$109)+(W$44*(-(50-$T14)*('Tenure Split (WALES)'!E$110/40)))</f>
        <v>#VALUE!</v>
      </c>
      <c r="Y14" s="4" t="e">
        <f>X14*(1+'Tenure Split (WALES)'!F$109)+(X$44*(-(50-$T14)*('Tenure Split (WALES)'!F$110/40)))</f>
        <v>#VALUE!</v>
      </c>
      <c r="Z14" s="4" t="e">
        <f>Y14*(1+'Tenure Split (WALES)'!G$109)+(Y$44*(-(50-$T14)*('Tenure Split (WALES)'!G$110/40)))</f>
        <v>#VALUE!</v>
      </c>
      <c r="AB14">
        <v>20</v>
      </c>
      <c r="AC14" s="4">
        <f>IF('Tenure Split (WALES)'!$D$8="WG Estimates",'Income (Wales)'!D14,'Income (Wales)'!V14)</f>
        <v>15233.403328586033</v>
      </c>
      <c r="AD14" s="4">
        <f>IF('Tenure Split (WALES)'!$D$8="WG Estimates",'Income (Wales)'!E14,'Income (Wales)'!W14)</f>
        <v>15424.499668608523</v>
      </c>
      <c r="AE14" s="4">
        <f>IF('Tenure Split (WALES)'!$D$8="WG Estimates",'Income (Wales)'!F14,'Income (Wales)'!X14)</f>
        <v>15724.740091260108</v>
      </c>
      <c r="AF14" s="4">
        <f>IF('Tenure Split (WALES)'!$D$8="WG Estimates",'Income (Wales)'!G14,'Income (Wales)'!Y14)</f>
        <v>16095.427314670167</v>
      </c>
      <c r="AG14" s="4">
        <f>IF('Tenure Split (WALES)'!$D$8="WG Estimates",'Income (Wales)'!H14,'Income (Wales)'!Z14)</f>
        <v>16487.696956221807</v>
      </c>
    </row>
    <row r="15" spans="2:33" x14ac:dyDescent="0.25">
      <c r="B15" s="20">
        <v>21</v>
      </c>
      <c r="C15" s="58">
        <v>14970.1</v>
      </c>
      <c r="D15" s="59">
        <f>C15*(1+'Tenure Split (WALES)'!C$109)+(C$44*(-(50-$B15)*('Tenure Split (WALES)'!C$110/40)))</f>
        <v>15312.440594208276</v>
      </c>
      <c r="E15" s="59">
        <f>D15*(1+'Tenure Split (WALES)'!D$109)+(D$44*(-(50-$B15)*('Tenure Split (WALES)'!D$110/40)))</f>
        <v>15512.254831924614</v>
      </c>
      <c r="F15" s="59">
        <f>E15*(1+'Tenure Split (WALES)'!E$109)+(E$44*(-(50-$B15)*('Tenure Split (WALES)'!E$110/40)))</f>
        <v>15822.231542150023</v>
      </c>
      <c r="G15" s="59">
        <f>F15*(1+'Tenure Split (WALES)'!F$109)+(F$44*(-(50-$B15)*('Tenure Split (WALES)'!F$110/40)))</f>
        <v>16203.616924773056</v>
      </c>
      <c r="H15" s="60">
        <f>G15*(1+'Tenure Split (WALES)'!G$109)+(G$44*(-(50-$B15)*('Tenure Split (WALES)'!G$110/40)))</f>
        <v>16607.349773505568</v>
      </c>
      <c r="L15" s="64" t="str">
        <f t="shared" si="0"/>
        <v/>
      </c>
      <c r="M15" s="251"/>
      <c r="N15" s="14">
        <f t="shared" si="3"/>
        <v>1</v>
      </c>
      <c r="T15" s="1">
        <f t="shared" si="1"/>
        <v>21</v>
      </c>
      <c r="U15" s="4" t="str">
        <f t="shared" si="2"/>
        <v/>
      </c>
      <c r="V15" s="4" t="e">
        <f>IF($V$3=$M$3,M15,U15*(1+'Tenure Split (WALES)'!C$109)+(U$44*(-(50-$T15)*('Tenure Split (WALES)'!C$110/40))))</f>
        <v>#VALUE!</v>
      </c>
      <c r="W15" s="4" t="e">
        <f>V15*(1+'Tenure Split (WALES)'!D$109)+(V$44*(-(50-$T15)*('Tenure Split (WALES)'!D$110/40)))</f>
        <v>#VALUE!</v>
      </c>
      <c r="X15" s="4" t="e">
        <f>W15*(1+'Tenure Split (WALES)'!E$109)+(W$44*(-(50-$T15)*('Tenure Split (WALES)'!E$110/40)))</f>
        <v>#VALUE!</v>
      </c>
      <c r="Y15" s="4" t="e">
        <f>X15*(1+'Tenure Split (WALES)'!F$109)+(X$44*(-(50-$T15)*('Tenure Split (WALES)'!F$110/40)))</f>
        <v>#VALUE!</v>
      </c>
      <c r="Z15" s="4" t="e">
        <f>Y15*(1+'Tenure Split (WALES)'!G$109)+(Y$44*(-(50-$T15)*('Tenure Split (WALES)'!G$110/40)))</f>
        <v>#VALUE!</v>
      </c>
      <c r="AB15">
        <v>21</v>
      </c>
      <c r="AC15" s="4">
        <f>IF('Tenure Split (WALES)'!$D$8="WG Estimates",'Income (Wales)'!D15,'Income (Wales)'!V15)</f>
        <v>15312.440594208276</v>
      </c>
      <c r="AD15" s="4">
        <f>IF('Tenure Split (WALES)'!$D$8="WG Estimates",'Income (Wales)'!E15,'Income (Wales)'!W15)</f>
        <v>15512.254831924614</v>
      </c>
      <c r="AE15" s="4">
        <f>IF('Tenure Split (WALES)'!$D$8="WG Estimates",'Income (Wales)'!F15,'Income (Wales)'!X15)</f>
        <v>15822.231542150023</v>
      </c>
      <c r="AF15" s="4">
        <f>IF('Tenure Split (WALES)'!$D$8="WG Estimates",'Income (Wales)'!G15,'Income (Wales)'!Y15)</f>
        <v>16203.616924773056</v>
      </c>
      <c r="AG15" s="4">
        <f>IF('Tenure Split (WALES)'!$D$8="WG Estimates",'Income (Wales)'!H15,'Income (Wales)'!Z15)</f>
        <v>16607.349773505568</v>
      </c>
    </row>
    <row r="16" spans="2:33" x14ac:dyDescent="0.25">
      <c r="B16" s="20">
        <v>22</v>
      </c>
      <c r="C16" s="58">
        <v>15070.1</v>
      </c>
      <c r="D16" s="59">
        <f>C16*(1+'Tenure Split (WALES)'!C$109)+(C$44*(-(50-$B16)*('Tenure Split (WALES)'!C$110/40)))</f>
        <v>15422.435642973953</v>
      </c>
      <c r="E16" s="59">
        <f>D16*(1+'Tenure Split (WALES)'!D$109)+(D$44*(-(50-$B16)*('Tenure Split (WALES)'!D$110/40)))</f>
        <v>15631.763739967275</v>
      </c>
      <c r="F16" s="59">
        <f>E16*(1+'Tenure Split (WALES)'!E$109)+(E$44*(-(50-$B16)*('Tenure Split (WALES)'!E$110/40)))</f>
        <v>15952.518356221544</v>
      </c>
      <c r="G16" s="59">
        <f>F16*(1+'Tenure Split (WALES)'!F$109)+(F$44*(-(50-$B16)*('Tenure Split (WALES)'!F$110/40)))</f>
        <v>16345.818142061196</v>
      </c>
      <c r="H16" s="60">
        <f>G16*(1+'Tenure Split (WALES)'!G$109)+(G$44*(-(50-$B16)*('Tenure Split (WALES)'!G$110/40)))</f>
        <v>16762.308755354083</v>
      </c>
      <c r="L16" s="64" t="str">
        <f t="shared" si="0"/>
        <v/>
      </c>
      <c r="M16" s="251"/>
      <c r="N16" s="14">
        <f t="shared" si="3"/>
        <v>1</v>
      </c>
      <c r="T16" s="1">
        <f t="shared" si="1"/>
        <v>22</v>
      </c>
      <c r="U16" s="4" t="str">
        <f t="shared" si="2"/>
        <v/>
      </c>
      <c r="V16" s="4" t="e">
        <f>IF($V$3=$M$3,M16,U16*(1+'Tenure Split (WALES)'!C$109)+(U$44*(-(50-$T16)*('Tenure Split (WALES)'!C$110/40))))</f>
        <v>#VALUE!</v>
      </c>
      <c r="W16" s="4" t="e">
        <f>V16*(1+'Tenure Split (WALES)'!D$109)+(V$44*(-(50-$T16)*('Tenure Split (WALES)'!D$110/40)))</f>
        <v>#VALUE!</v>
      </c>
      <c r="X16" s="4" t="e">
        <f>W16*(1+'Tenure Split (WALES)'!E$109)+(W$44*(-(50-$T16)*('Tenure Split (WALES)'!E$110/40)))</f>
        <v>#VALUE!</v>
      </c>
      <c r="Y16" s="4" t="e">
        <f>X16*(1+'Tenure Split (WALES)'!F$109)+(X$44*(-(50-$T16)*('Tenure Split (WALES)'!F$110/40)))</f>
        <v>#VALUE!</v>
      </c>
      <c r="Z16" s="4" t="e">
        <f>Y16*(1+'Tenure Split (WALES)'!G$109)+(Y$44*(-(50-$T16)*('Tenure Split (WALES)'!G$110/40)))</f>
        <v>#VALUE!</v>
      </c>
      <c r="AB16">
        <v>22</v>
      </c>
      <c r="AC16" s="4">
        <f>IF('Tenure Split (WALES)'!$D$8="WG Estimates",'Income (Wales)'!D16,'Income (Wales)'!V16)</f>
        <v>15422.435642973953</v>
      </c>
      <c r="AD16" s="4">
        <f>IF('Tenure Split (WALES)'!$D$8="WG Estimates",'Income (Wales)'!E16,'Income (Wales)'!W16)</f>
        <v>15631.763739967275</v>
      </c>
      <c r="AE16" s="4">
        <f>IF('Tenure Split (WALES)'!$D$8="WG Estimates",'Income (Wales)'!F16,'Income (Wales)'!X16)</f>
        <v>15952.518356221544</v>
      </c>
      <c r="AF16" s="4">
        <f>IF('Tenure Split (WALES)'!$D$8="WG Estimates",'Income (Wales)'!G16,'Income (Wales)'!Y16)</f>
        <v>16345.818142061196</v>
      </c>
      <c r="AG16" s="4">
        <f>IF('Tenure Split (WALES)'!$D$8="WG Estimates",'Income (Wales)'!H16,'Income (Wales)'!Z16)</f>
        <v>16762.308755354083</v>
      </c>
    </row>
    <row r="17" spans="2:33" x14ac:dyDescent="0.25">
      <c r="B17" s="20">
        <v>23</v>
      </c>
      <c r="C17" s="58">
        <v>15280</v>
      </c>
      <c r="D17" s="59">
        <f>C17*(1+'Tenure Split (WALES)'!C$109)+(C$44*(-(50-$B17)*('Tenure Split (WALES)'!C$110/40)))</f>
        <v>15646.21866389561</v>
      </c>
      <c r="E17" s="59">
        <f>D17*(1+'Tenure Split (WALES)'!D$109)+(D$44*(-(50-$B17)*('Tenure Split (WALES)'!D$110/40)))</f>
        <v>15867.98624484774</v>
      </c>
      <c r="F17" s="59">
        <f>E17*(1+'Tenure Split (WALES)'!E$109)+(E$44*(-(50-$B17)*('Tenure Split (WALES)'!E$110/40)))</f>
        <v>16203.347324596041</v>
      </c>
      <c r="G17" s="59">
        <f>F17*(1+'Tenure Split (WALES)'!F$109)+(F$44*(-(50-$B17)*('Tenure Split (WALES)'!F$110/40)))</f>
        <v>16613.03192221421</v>
      </c>
      <c r="H17" s="60">
        <f>G17*(1+'Tenure Split (WALES)'!G$109)+(G$44*(-(50-$B17)*('Tenure Split (WALES)'!G$110/40)))</f>
        <v>17047.038556121221</v>
      </c>
      <c r="L17" s="64" t="str">
        <f t="shared" si="0"/>
        <v/>
      </c>
      <c r="M17" s="251"/>
      <c r="N17" s="14">
        <f t="shared" si="3"/>
        <v>1</v>
      </c>
      <c r="T17" s="1">
        <f t="shared" si="1"/>
        <v>23</v>
      </c>
      <c r="U17" s="4" t="str">
        <f t="shared" si="2"/>
        <v/>
      </c>
      <c r="V17" s="4" t="e">
        <f>IF($V$3=$M$3,M17,U17*(1+'Tenure Split (WALES)'!C$109)+(U$44*(-(50-$T17)*('Tenure Split (WALES)'!C$110/40))))</f>
        <v>#VALUE!</v>
      </c>
      <c r="W17" s="4" t="e">
        <f>V17*(1+'Tenure Split (WALES)'!D$109)+(V$44*(-(50-$T17)*('Tenure Split (WALES)'!D$110/40)))</f>
        <v>#VALUE!</v>
      </c>
      <c r="X17" s="4" t="e">
        <f>W17*(1+'Tenure Split (WALES)'!E$109)+(W$44*(-(50-$T17)*('Tenure Split (WALES)'!E$110/40)))</f>
        <v>#VALUE!</v>
      </c>
      <c r="Y17" s="4" t="e">
        <f>X17*(1+'Tenure Split (WALES)'!F$109)+(X$44*(-(50-$T17)*('Tenure Split (WALES)'!F$110/40)))</f>
        <v>#VALUE!</v>
      </c>
      <c r="Z17" s="4" t="e">
        <f>Y17*(1+'Tenure Split (WALES)'!G$109)+(Y$44*(-(50-$T17)*('Tenure Split (WALES)'!G$110/40)))</f>
        <v>#VALUE!</v>
      </c>
      <c r="AB17">
        <v>23</v>
      </c>
      <c r="AC17" s="4">
        <f>IF('Tenure Split (WALES)'!$D$8="WG Estimates",'Income (Wales)'!D17,'Income (Wales)'!V17)</f>
        <v>15646.21866389561</v>
      </c>
      <c r="AD17" s="4">
        <f>IF('Tenure Split (WALES)'!$D$8="WG Estimates",'Income (Wales)'!E17,'Income (Wales)'!W17)</f>
        <v>15867.98624484774</v>
      </c>
      <c r="AE17" s="4">
        <f>IF('Tenure Split (WALES)'!$D$8="WG Estimates",'Income (Wales)'!F17,'Income (Wales)'!X17)</f>
        <v>16203.347324596041</v>
      </c>
      <c r="AF17" s="4">
        <f>IF('Tenure Split (WALES)'!$D$8="WG Estimates",'Income (Wales)'!G17,'Income (Wales)'!Y17)</f>
        <v>16613.03192221421</v>
      </c>
      <c r="AG17" s="4">
        <f>IF('Tenure Split (WALES)'!$D$8="WG Estimates",'Income (Wales)'!H17,'Income (Wales)'!Z17)</f>
        <v>17047.038556121221</v>
      </c>
    </row>
    <row r="18" spans="2:33" x14ac:dyDescent="0.25">
      <c r="B18" s="20">
        <v>24</v>
      </c>
      <c r="C18" s="58">
        <v>15600</v>
      </c>
      <c r="D18" s="59">
        <f>C18*(1+'Tenure Split (WALES)'!C$109)+(C$44*(-(50-$B18)*('Tenure Split (WALES)'!C$110/40)))</f>
        <v>15983.996732445781</v>
      </c>
      <c r="E18" s="59">
        <f>D18*(1+'Tenure Split (WALES)'!D$109)+(D$44*(-(50-$B18)*('Tenure Split (WALES)'!D$110/40)))</f>
        <v>16221.134746196294</v>
      </c>
      <c r="F18" s="59">
        <f>E18*(1+'Tenure Split (WALES)'!E$109)+(E$44*(-(50-$B18)*('Tenure Split (WALES)'!E$110/40)))</f>
        <v>16574.937814251327</v>
      </c>
      <c r="G18" s="59">
        <f>F18*(1+'Tenure Split (WALES)'!F$109)+(F$44*(-(50-$B18)*('Tenure Split (WALES)'!F$110/40)))</f>
        <v>17005.485767621303</v>
      </c>
      <c r="H18" s="60">
        <f>G18*(1+'Tenure Split (WALES)'!G$109)+(G$44*(-(50-$B18)*('Tenure Split (WALES)'!G$110/40)))</f>
        <v>17461.775337442872</v>
      </c>
      <c r="L18" s="64" t="str">
        <f t="shared" si="0"/>
        <v/>
      </c>
      <c r="M18" s="251"/>
      <c r="N18" s="14">
        <f t="shared" si="3"/>
        <v>1</v>
      </c>
      <c r="T18" s="1">
        <f t="shared" si="1"/>
        <v>24</v>
      </c>
      <c r="U18" s="4" t="str">
        <f t="shared" si="2"/>
        <v/>
      </c>
      <c r="V18" s="4" t="e">
        <f>IF($V$3=$M$3,M18,U18*(1+'Tenure Split (WALES)'!C$109)+(U$44*(-(50-$T18)*('Tenure Split (WALES)'!C$110/40))))</f>
        <v>#VALUE!</v>
      </c>
      <c r="W18" s="4" t="e">
        <f>V18*(1+'Tenure Split (WALES)'!D$109)+(V$44*(-(50-$T18)*('Tenure Split (WALES)'!D$110/40)))</f>
        <v>#VALUE!</v>
      </c>
      <c r="X18" s="4" t="e">
        <f>W18*(1+'Tenure Split (WALES)'!E$109)+(W$44*(-(50-$T18)*('Tenure Split (WALES)'!E$110/40)))</f>
        <v>#VALUE!</v>
      </c>
      <c r="Y18" s="4" t="e">
        <f>X18*(1+'Tenure Split (WALES)'!F$109)+(X$44*(-(50-$T18)*('Tenure Split (WALES)'!F$110/40)))</f>
        <v>#VALUE!</v>
      </c>
      <c r="Z18" s="4" t="e">
        <f>Y18*(1+'Tenure Split (WALES)'!G$109)+(Y$44*(-(50-$T18)*('Tenure Split (WALES)'!G$110/40)))</f>
        <v>#VALUE!</v>
      </c>
      <c r="AB18">
        <v>24</v>
      </c>
      <c r="AC18" s="4">
        <f>IF('Tenure Split (WALES)'!$D$8="WG Estimates",'Income (Wales)'!D18,'Income (Wales)'!V18)</f>
        <v>15983.996732445781</v>
      </c>
      <c r="AD18" s="4">
        <f>IF('Tenure Split (WALES)'!$D$8="WG Estimates",'Income (Wales)'!E18,'Income (Wales)'!W18)</f>
        <v>16221.134746196294</v>
      </c>
      <c r="AE18" s="4">
        <f>IF('Tenure Split (WALES)'!$D$8="WG Estimates",'Income (Wales)'!F18,'Income (Wales)'!X18)</f>
        <v>16574.937814251327</v>
      </c>
      <c r="AF18" s="4">
        <f>IF('Tenure Split (WALES)'!$D$8="WG Estimates",'Income (Wales)'!G18,'Income (Wales)'!Y18)</f>
        <v>17005.485767621303</v>
      </c>
      <c r="AG18" s="4">
        <f>IF('Tenure Split (WALES)'!$D$8="WG Estimates",'Income (Wales)'!H18,'Income (Wales)'!Z18)</f>
        <v>17461.775337442872</v>
      </c>
    </row>
    <row r="19" spans="2:33" x14ac:dyDescent="0.25">
      <c r="B19" s="20">
        <v>25</v>
      </c>
      <c r="C19" s="58">
        <v>15838</v>
      </c>
      <c r="D19" s="59">
        <f>C19*(1+'Tenure Split (WALES)'!C$109)+(C$44*(-(50-$B19)*('Tenure Split (WALES)'!C$110/40)))</f>
        <v>16236.873857258095</v>
      </c>
      <c r="E19" s="59">
        <f>D19*(1+'Tenure Split (WALES)'!D$109)+(D$44*(-(50-$B19)*('Tenure Split (WALES)'!D$110/40)))</f>
        <v>16487.19939913083</v>
      </c>
      <c r="F19" s="59">
        <f>E19*(1+'Tenure Split (WALES)'!E$109)+(E$44*(-(50-$B19)*('Tenure Split (WALES)'!E$110/40)))</f>
        <v>16856.587843007204</v>
      </c>
      <c r="G19" s="59">
        <f>F19*(1+'Tenure Split (WALES)'!F$109)+(F$44*(-(50-$B19)*('Tenure Split (WALES)'!F$110/40)))</f>
        <v>17304.663633456781</v>
      </c>
      <c r="H19" s="60">
        <f>G19*(1+'Tenure Split (WALES)'!G$109)+(G$44*(-(50-$B19)*('Tenure Split (WALES)'!G$110/40)))</f>
        <v>17779.685848051802</v>
      </c>
      <c r="L19" s="64" t="str">
        <f t="shared" si="0"/>
        <v/>
      </c>
      <c r="M19" s="251"/>
      <c r="N19" s="14">
        <f t="shared" si="3"/>
        <v>1</v>
      </c>
      <c r="T19" s="1">
        <f t="shared" si="1"/>
        <v>25</v>
      </c>
      <c r="U19" s="4" t="str">
        <f t="shared" si="2"/>
        <v/>
      </c>
      <c r="V19" s="4" t="e">
        <f>IF($V$3=$M$3,M19,U19*(1+'Tenure Split (WALES)'!C$109)+(U$44*(-(50-$T19)*('Tenure Split (WALES)'!C$110/40))))</f>
        <v>#VALUE!</v>
      </c>
      <c r="W19" s="4" t="e">
        <f>V19*(1+'Tenure Split (WALES)'!D$109)+(V$44*(-(50-$T19)*('Tenure Split (WALES)'!D$110/40)))</f>
        <v>#VALUE!</v>
      </c>
      <c r="X19" s="4" t="e">
        <f>W19*(1+'Tenure Split (WALES)'!E$109)+(W$44*(-(50-$T19)*('Tenure Split (WALES)'!E$110/40)))</f>
        <v>#VALUE!</v>
      </c>
      <c r="Y19" s="4" t="e">
        <f>X19*(1+'Tenure Split (WALES)'!F$109)+(X$44*(-(50-$T19)*('Tenure Split (WALES)'!F$110/40)))</f>
        <v>#VALUE!</v>
      </c>
      <c r="Z19" s="4" t="e">
        <f>Y19*(1+'Tenure Split (WALES)'!G$109)+(Y$44*(-(50-$T19)*('Tenure Split (WALES)'!G$110/40)))</f>
        <v>#VALUE!</v>
      </c>
      <c r="AB19">
        <v>25</v>
      </c>
      <c r="AC19" s="4">
        <f>IF('Tenure Split (WALES)'!$D$8="WG Estimates",'Income (Wales)'!D19,'Income (Wales)'!V19)</f>
        <v>16236.873857258095</v>
      </c>
      <c r="AD19" s="4">
        <f>IF('Tenure Split (WALES)'!$D$8="WG Estimates",'Income (Wales)'!E19,'Income (Wales)'!W19)</f>
        <v>16487.19939913083</v>
      </c>
      <c r="AE19" s="4">
        <f>IF('Tenure Split (WALES)'!$D$8="WG Estimates",'Income (Wales)'!F19,'Income (Wales)'!X19)</f>
        <v>16856.587843007204</v>
      </c>
      <c r="AF19" s="4">
        <f>IF('Tenure Split (WALES)'!$D$8="WG Estimates",'Income (Wales)'!G19,'Income (Wales)'!Y19)</f>
        <v>17304.663633456781</v>
      </c>
      <c r="AG19" s="4">
        <f>IF('Tenure Split (WALES)'!$D$8="WG Estimates",'Income (Wales)'!H19,'Income (Wales)'!Z19)</f>
        <v>17779.685848051802</v>
      </c>
    </row>
    <row r="20" spans="2:33" x14ac:dyDescent="0.25">
      <c r="B20" s="20">
        <v>26</v>
      </c>
      <c r="C20" s="58">
        <v>16122.6</v>
      </c>
      <c r="D20" s="59">
        <f>C20*(1+'Tenure Split (WALES)'!C$109)+(C$44*(-(50-$B20)*('Tenure Split (WALES)'!C$110/40)))</f>
        <v>16537.999567170213</v>
      </c>
      <c r="E20" s="59">
        <f>D20*(1+'Tenure Split (WALES)'!D$109)+(D$44*(-(50-$B20)*('Tenure Split (WALES)'!D$110/40)))</f>
        <v>16802.75316592016</v>
      </c>
      <c r="F20" s="59">
        <f>E20*(1+'Tenure Split (WALES)'!E$109)+(E$44*(-(50-$B20)*('Tenure Split (WALES)'!E$110/40)))</f>
        <v>17189.35037759128</v>
      </c>
      <c r="G20" s="59">
        <f>F20*(1+'Tenure Split (WALES)'!F$109)+(F$44*(-(50-$B20)*('Tenure Split (WALES)'!F$110/40)))</f>
        <v>17656.849555975641</v>
      </c>
      <c r="H20" s="60">
        <f>G20*(1+'Tenure Split (WALES)'!G$109)+(G$44*(-(50-$B20)*('Tenure Split (WALES)'!G$110/40)))</f>
        <v>18152.622019821862</v>
      </c>
      <c r="L20" s="64" t="str">
        <f t="shared" si="0"/>
        <v/>
      </c>
      <c r="M20" s="251"/>
      <c r="N20" s="14">
        <f t="shared" si="3"/>
        <v>1</v>
      </c>
      <c r="T20" s="1">
        <f t="shared" si="1"/>
        <v>26</v>
      </c>
      <c r="U20" s="4" t="str">
        <f t="shared" si="2"/>
        <v/>
      </c>
      <c r="V20" s="4" t="e">
        <f>IF($V$3=$M$3,M20,U20*(1+'Tenure Split (WALES)'!C$109)+(U$44*(-(50-$T20)*('Tenure Split (WALES)'!C$110/40))))</f>
        <v>#VALUE!</v>
      </c>
      <c r="W20" s="4" t="e">
        <f>V20*(1+'Tenure Split (WALES)'!D$109)+(V$44*(-(50-$T20)*('Tenure Split (WALES)'!D$110/40)))</f>
        <v>#VALUE!</v>
      </c>
      <c r="X20" s="4" t="e">
        <f>W20*(1+'Tenure Split (WALES)'!E$109)+(W$44*(-(50-$T20)*('Tenure Split (WALES)'!E$110/40)))</f>
        <v>#VALUE!</v>
      </c>
      <c r="Y20" s="4" t="e">
        <f>X20*(1+'Tenure Split (WALES)'!F$109)+(X$44*(-(50-$T20)*('Tenure Split (WALES)'!F$110/40)))</f>
        <v>#VALUE!</v>
      </c>
      <c r="Z20" s="4" t="e">
        <f>Y20*(1+'Tenure Split (WALES)'!G$109)+(Y$44*(-(50-$T20)*('Tenure Split (WALES)'!G$110/40)))</f>
        <v>#VALUE!</v>
      </c>
      <c r="AB20">
        <v>26</v>
      </c>
      <c r="AC20" s="4">
        <f>IF('Tenure Split (WALES)'!$D$8="WG Estimates",'Income (Wales)'!D20,'Income (Wales)'!V20)</f>
        <v>16537.999567170213</v>
      </c>
      <c r="AD20" s="4">
        <f>IF('Tenure Split (WALES)'!$D$8="WG Estimates",'Income (Wales)'!E20,'Income (Wales)'!W20)</f>
        <v>16802.75316592016</v>
      </c>
      <c r="AE20" s="4">
        <f>IF('Tenure Split (WALES)'!$D$8="WG Estimates",'Income (Wales)'!F20,'Income (Wales)'!X20)</f>
        <v>17189.35037759128</v>
      </c>
      <c r="AF20" s="4">
        <f>IF('Tenure Split (WALES)'!$D$8="WG Estimates",'Income (Wales)'!G20,'Income (Wales)'!Y20)</f>
        <v>17656.849555975641</v>
      </c>
      <c r="AG20" s="4">
        <f>IF('Tenure Split (WALES)'!$D$8="WG Estimates",'Income (Wales)'!H20,'Income (Wales)'!Z20)</f>
        <v>18152.622019821862</v>
      </c>
    </row>
    <row r="21" spans="2:33" x14ac:dyDescent="0.25">
      <c r="B21" s="20">
        <v>27</v>
      </c>
      <c r="C21" s="58">
        <v>16424</v>
      </c>
      <c r="D21" s="59">
        <f>C21*(1+'Tenure Split (WALES)'!C$109)+(C$44*(-(50-$B21)*('Tenure Split (WALES)'!C$110/40)))</f>
        <v>16856.519616774967</v>
      </c>
      <c r="E21" s="59">
        <f>D21*(1+'Tenure Split (WALES)'!D$109)+(D$44*(-(50-$B21)*('Tenure Split (WALES)'!D$110/40)))</f>
        <v>17136.14850165285</v>
      </c>
      <c r="F21" s="59">
        <f>E21*(1+'Tenure Split (WALES)'!E$109)+(E$44*(-(50-$B21)*('Tenure Split (WALES)'!E$110/40)))</f>
        <v>17540.539738310843</v>
      </c>
      <c r="G21" s="59">
        <f>F21*(1+'Tenure Split (WALES)'!F$109)+(F$44*(-(50-$B21)*('Tenure Split (WALES)'!F$110/40)))</f>
        <v>18028.145679187219</v>
      </c>
      <c r="H21" s="60">
        <f>G21*(1+'Tenure Split (WALES)'!G$109)+(G$44*(-(50-$B21)*('Tenure Split (WALES)'!G$110/40)))</f>
        <v>18545.395769006234</v>
      </c>
      <c r="L21" s="64" t="str">
        <f t="shared" si="0"/>
        <v/>
      </c>
      <c r="M21" s="251"/>
      <c r="N21" s="14">
        <f t="shared" si="3"/>
        <v>1</v>
      </c>
      <c r="T21" s="1">
        <f t="shared" si="1"/>
        <v>27</v>
      </c>
      <c r="U21" s="4" t="str">
        <f t="shared" si="2"/>
        <v/>
      </c>
      <c r="V21" s="4" t="e">
        <f>IF($V$3=$M$3,M21,U21*(1+'Tenure Split (WALES)'!C$109)+(U$44*(-(50-$T21)*('Tenure Split (WALES)'!C$110/40))))</f>
        <v>#VALUE!</v>
      </c>
      <c r="W21" s="4" t="e">
        <f>V21*(1+'Tenure Split (WALES)'!D$109)+(V$44*(-(50-$T21)*('Tenure Split (WALES)'!D$110/40)))</f>
        <v>#VALUE!</v>
      </c>
      <c r="X21" s="4" t="e">
        <f>W21*(1+'Tenure Split (WALES)'!E$109)+(W$44*(-(50-$T21)*('Tenure Split (WALES)'!E$110/40)))</f>
        <v>#VALUE!</v>
      </c>
      <c r="Y21" s="4" t="e">
        <f>X21*(1+'Tenure Split (WALES)'!F$109)+(X$44*(-(50-$T21)*('Tenure Split (WALES)'!F$110/40)))</f>
        <v>#VALUE!</v>
      </c>
      <c r="Z21" s="4" t="e">
        <f>Y21*(1+'Tenure Split (WALES)'!G$109)+(Y$44*(-(50-$T21)*('Tenure Split (WALES)'!G$110/40)))</f>
        <v>#VALUE!</v>
      </c>
      <c r="AB21">
        <v>27</v>
      </c>
      <c r="AC21" s="4">
        <f>IF('Tenure Split (WALES)'!$D$8="WG Estimates",'Income (Wales)'!D21,'Income (Wales)'!V21)</f>
        <v>16856.519616774967</v>
      </c>
      <c r="AD21" s="4">
        <f>IF('Tenure Split (WALES)'!$D$8="WG Estimates",'Income (Wales)'!E21,'Income (Wales)'!W21)</f>
        <v>17136.14850165285</v>
      </c>
      <c r="AE21" s="4">
        <f>IF('Tenure Split (WALES)'!$D$8="WG Estimates",'Income (Wales)'!F21,'Income (Wales)'!X21)</f>
        <v>17540.539738310843</v>
      </c>
      <c r="AF21" s="4">
        <f>IF('Tenure Split (WALES)'!$D$8="WG Estimates",'Income (Wales)'!G21,'Income (Wales)'!Y21)</f>
        <v>18028.145679187219</v>
      </c>
      <c r="AG21" s="4">
        <f>IF('Tenure Split (WALES)'!$D$8="WG Estimates",'Income (Wales)'!H21,'Income (Wales)'!Z21)</f>
        <v>18545.395769006234</v>
      </c>
    </row>
    <row r="22" spans="2:33" x14ac:dyDescent="0.25">
      <c r="B22" s="20">
        <v>28</v>
      </c>
      <c r="C22" s="58">
        <v>16703.599999999999</v>
      </c>
      <c r="D22" s="59">
        <f>C22*(1+'Tenure Split (WALES)'!C$109)+(C$44*(-(50-$B22)*('Tenure Split (WALES)'!C$110/40)))</f>
        <v>17152.468439873803</v>
      </c>
      <c r="E22" s="59">
        <f>D22*(1+'Tenure Split (WALES)'!D$109)+(D$44*(-(50-$B22)*('Tenure Split (WALES)'!D$110/40)))</f>
        <v>17446.392277685227</v>
      </c>
      <c r="F22" s="59">
        <f>E22*(1+'Tenure Split (WALES)'!E$109)+(E$44*(-(50-$B22)*('Tenure Split (WALES)'!E$110/40)))</f>
        <v>17867.818098449832</v>
      </c>
      <c r="G22" s="59">
        <f>F22*(1+'Tenure Split (WALES)'!F$109)+(F$44*(-(50-$B22)*('Tenure Split (WALES)'!F$110/40)))</f>
        <v>18374.644041976102</v>
      </c>
      <c r="H22" s="60">
        <f>G22*(1+'Tenure Split (WALES)'!G$109)+(G$44*(-(50-$B22)*('Tenure Split (WALES)'!G$110/40)))</f>
        <v>18912.427899879178</v>
      </c>
      <c r="L22" s="64" t="str">
        <f t="shared" si="0"/>
        <v/>
      </c>
      <c r="M22" s="251"/>
      <c r="N22" s="14">
        <f t="shared" si="3"/>
        <v>1</v>
      </c>
      <c r="T22" s="1">
        <f t="shared" si="1"/>
        <v>28</v>
      </c>
      <c r="U22" s="4" t="str">
        <f t="shared" si="2"/>
        <v/>
      </c>
      <c r="V22" s="4" t="e">
        <f>IF($V$3=$M$3,M22,U22*(1+'Tenure Split (WALES)'!C$109)+(U$44*(-(50-$T22)*('Tenure Split (WALES)'!C$110/40))))</f>
        <v>#VALUE!</v>
      </c>
      <c r="W22" s="4" t="e">
        <f>V22*(1+'Tenure Split (WALES)'!D$109)+(V$44*(-(50-$T22)*('Tenure Split (WALES)'!D$110/40)))</f>
        <v>#VALUE!</v>
      </c>
      <c r="X22" s="4" t="e">
        <f>W22*(1+'Tenure Split (WALES)'!E$109)+(W$44*(-(50-$T22)*('Tenure Split (WALES)'!E$110/40)))</f>
        <v>#VALUE!</v>
      </c>
      <c r="Y22" s="4" t="e">
        <f>X22*(1+'Tenure Split (WALES)'!F$109)+(X$44*(-(50-$T22)*('Tenure Split (WALES)'!F$110/40)))</f>
        <v>#VALUE!</v>
      </c>
      <c r="Z22" s="4" t="e">
        <f>Y22*(1+'Tenure Split (WALES)'!G$109)+(Y$44*(-(50-$T22)*('Tenure Split (WALES)'!G$110/40)))</f>
        <v>#VALUE!</v>
      </c>
      <c r="AB22">
        <v>28</v>
      </c>
      <c r="AC22" s="4">
        <f>IF('Tenure Split (WALES)'!$D$8="WG Estimates",'Income (Wales)'!D22,'Income (Wales)'!V22)</f>
        <v>17152.468439873803</v>
      </c>
      <c r="AD22" s="4">
        <f>IF('Tenure Split (WALES)'!$D$8="WG Estimates",'Income (Wales)'!E22,'Income (Wales)'!W22)</f>
        <v>17446.392277685227</v>
      </c>
      <c r="AE22" s="4">
        <f>IF('Tenure Split (WALES)'!$D$8="WG Estimates",'Income (Wales)'!F22,'Income (Wales)'!X22)</f>
        <v>17867.818098449832</v>
      </c>
      <c r="AF22" s="4">
        <f>IF('Tenure Split (WALES)'!$D$8="WG Estimates",'Income (Wales)'!G22,'Income (Wales)'!Y22)</f>
        <v>18374.644041976102</v>
      </c>
      <c r="AG22" s="4">
        <f>IF('Tenure Split (WALES)'!$D$8="WG Estimates",'Income (Wales)'!H22,'Income (Wales)'!Z22)</f>
        <v>18912.427899879178</v>
      </c>
    </row>
    <row r="23" spans="2:33" x14ac:dyDescent="0.25">
      <c r="B23" s="20">
        <v>29</v>
      </c>
      <c r="C23" s="58">
        <v>17070</v>
      </c>
      <c r="D23" s="59">
        <f>C23*(1+'Tenure Split (WALES)'!C$109)+(C$44*(-(50-$B23)*('Tenure Split (WALES)'!C$110/40)))</f>
        <v>17538.288018051247</v>
      </c>
      <c r="E23" s="59">
        <f>D23*(1+'Tenure Split (WALES)'!D$109)+(D$44*(-(50-$B23)*('Tenure Split (WALES)'!D$110/40)))</f>
        <v>17848.817493258295</v>
      </c>
      <c r="F23" s="59">
        <f>E23*(1+'Tenure Split (WALES)'!E$109)+(E$44*(-(50-$B23)*('Tenure Split (WALES)'!E$110/40)))</f>
        <v>18290.301726955506</v>
      </c>
      <c r="G23" s="59">
        <f>F23*(1+'Tenure Split (WALES)'!F$109)+(F$44*(-(50-$B23)*('Tenure Split (WALES)'!F$110/40)))</f>
        <v>18819.878441677367</v>
      </c>
      <c r="H23" s="60">
        <f>G23*(1+'Tenure Split (WALES)'!G$109)+(G$44*(-(50-$B23)*('Tenure Split (WALES)'!G$110/40)))</f>
        <v>19381.954180726061</v>
      </c>
      <c r="L23" s="64" t="str">
        <f t="shared" si="0"/>
        <v/>
      </c>
      <c r="M23" s="251"/>
      <c r="N23" s="14">
        <f t="shared" si="3"/>
        <v>1</v>
      </c>
      <c r="T23" s="1">
        <f t="shared" si="1"/>
        <v>29</v>
      </c>
      <c r="U23" s="4" t="str">
        <f t="shared" si="2"/>
        <v/>
      </c>
      <c r="V23" s="4" t="e">
        <f>IF($V$3=$M$3,M23,U23*(1+'Tenure Split (WALES)'!C$109)+(U$44*(-(50-$T23)*('Tenure Split (WALES)'!C$110/40))))</f>
        <v>#VALUE!</v>
      </c>
      <c r="W23" s="4" t="e">
        <f>V23*(1+'Tenure Split (WALES)'!D$109)+(V$44*(-(50-$T23)*('Tenure Split (WALES)'!D$110/40)))</f>
        <v>#VALUE!</v>
      </c>
      <c r="X23" s="4" t="e">
        <f>W23*(1+'Tenure Split (WALES)'!E$109)+(W$44*(-(50-$T23)*('Tenure Split (WALES)'!E$110/40)))</f>
        <v>#VALUE!</v>
      </c>
      <c r="Y23" s="4" t="e">
        <f>X23*(1+'Tenure Split (WALES)'!F$109)+(X$44*(-(50-$T23)*('Tenure Split (WALES)'!F$110/40)))</f>
        <v>#VALUE!</v>
      </c>
      <c r="Z23" s="4" t="e">
        <f>Y23*(1+'Tenure Split (WALES)'!G$109)+(Y$44*(-(50-$T23)*('Tenure Split (WALES)'!G$110/40)))</f>
        <v>#VALUE!</v>
      </c>
      <c r="AB23">
        <v>29</v>
      </c>
      <c r="AC23" s="4">
        <f>IF('Tenure Split (WALES)'!$D$8="WG Estimates",'Income (Wales)'!D23,'Income (Wales)'!V23)</f>
        <v>17538.288018051247</v>
      </c>
      <c r="AD23" s="4">
        <f>IF('Tenure Split (WALES)'!$D$8="WG Estimates",'Income (Wales)'!E23,'Income (Wales)'!W23)</f>
        <v>17848.817493258295</v>
      </c>
      <c r="AE23" s="4">
        <f>IF('Tenure Split (WALES)'!$D$8="WG Estimates",'Income (Wales)'!F23,'Income (Wales)'!X23)</f>
        <v>18290.301726955506</v>
      </c>
      <c r="AF23" s="4">
        <f>IF('Tenure Split (WALES)'!$D$8="WG Estimates",'Income (Wales)'!G23,'Income (Wales)'!Y23)</f>
        <v>18819.878441677367</v>
      </c>
      <c r="AG23" s="4">
        <f>IF('Tenure Split (WALES)'!$D$8="WG Estimates",'Income (Wales)'!H23,'Income (Wales)'!Z23)</f>
        <v>19381.954180726061</v>
      </c>
    </row>
    <row r="24" spans="2:33" x14ac:dyDescent="0.25">
      <c r="B24" s="20">
        <v>30</v>
      </c>
      <c r="C24" s="58">
        <v>17411</v>
      </c>
      <c r="D24" s="59">
        <f>C24*(1+'Tenure Split (WALES)'!C$109)+(C$44*(-(50-$B24)*('Tenure Split (WALES)'!C$110/40)))</f>
        <v>17897.80901121721</v>
      </c>
      <c r="E24" s="59">
        <f>D24*(1+'Tenure Split (WALES)'!D$109)+(D$44*(-(50-$B24)*('Tenure Split (WALES)'!D$110/40)))</f>
        <v>18224.267955786047</v>
      </c>
      <c r="F24" s="59">
        <f>E24*(1+'Tenure Split (WALES)'!E$109)+(E$44*(-(50-$B24)*('Tenure Split (WALES)'!E$110/40)))</f>
        <v>18684.925749280148</v>
      </c>
      <c r="G24" s="59">
        <f>F24*(1+'Tenure Split (WALES)'!F$109)+(F$44*(-(50-$B24)*('Tenure Split (WALES)'!F$110/40)))</f>
        <v>19236.220037950363</v>
      </c>
      <c r="H24" s="60">
        <f>G24*(1+'Tenure Split (WALES)'!G$109)+(G$44*(-(50-$B24)*('Tenure Split (WALES)'!G$110/40)))</f>
        <v>19821.487933815606</v>
      </c>
      <c r="L24" s="64" t="str">
        <f t="shared" si="0"/>
        <v/>
      </c>
      <c r="M24" s="251"/>
      <c r="N24" s="14">
        <f t="shared" si="3"/>
        <v>1</v>
      </c>
      <c r="T24" s="1">
        <f t="shared" si="1"/>
        <v>30</v>
      </c>
      <c r="U24" s="4" t="str">
        <f t="shared" si="2"/>
        <v/>
      </c>
      <c r="V24" s="4" t="e">
        <f>IF($V$3=$M$3,M24,U24*(1+'Tenure Split (WALES)'!C$109)+(U$44*(-(50-$T24)*('Tenure Split (WALES)'!C$110/40))))</f>
        <v>#VALUE!</v>
      </c>
      <c r="W24" s="4" t="e">
        <f>V24*(1+'Tenure Split (WALES)'!D$109)+(V$44*(-(50-$T24)*('Tenure Split (WALES)'!D$110/40)))</f>
        <v>#VALUE!</v>
      </c>
      <c r="X24" s="4" t="e">
        <f>W24*(1+'Tenure Split (WALES)'!E$109)+(W$44*(-(50-$T24)*('Tenure Split (WALES)'!E$110/40)))</f>
        <v>#VALUE!</v>
      </c>
      <c r="Y24" s="4" t="e">
        <f>X24*(1+'Tenure Split (WALES)'!F$109)+(X$44*(-(50-$T24)*('Tenure Split (WALES)'!F$110/40)))</f>
        <v>#VALUE!</v>
      </c>
      <c r="Z24" s="4" t="e">
        <f>Y24*(1+'Tenure Split (WALES)'!G$109)+(Y$44*(-(50-$T24)*('Tenure Split (WALES)'!G$110/40)))</f>
        <v>#VALUE!</v>
      </c>
      <c r="AB24">
        <v>30</v>
      </c>
      <c r="AC24" s="4">
        <f>IF('Tenure Split (WALES)'!$D$8="WG Estimates",'Income (Wales)'!D24,'Income (Wales)'!V24)</f>
        <v>17897.80901121721</v>
      </c>
      <c r="AD24" s="4">
        <f>IF('Tenure Split (WALES)'!$D$8="WG Estimates",'Income (Wales)'!E24,'Income (Wales)'!W24)</f>
        <v>18224.267955786047</v>
      </c>
      <c r="AE24" s="4">
        <f>IF('Tenure Split (WALES)'!$D$8="WG Estimates",'Income (Wales)'!F24,'Income (Wales)'!X24)</f>
        <v>18684.925749280148</v>
      </c>
      <c r="AF24" s="4">
        <f>IF('Tenure Split (WALES)'!$D$8="WG Estimates",'Income (Wales)'!G24,'Income (Wales)'!Y24)</f>
        <v>19236.220037950363</v>
      </c>
      <c r="AG24" s="4">
        <f>IF('Tenure Split (WALES)'!$D$8="WG Estimates",'Income (Wales)'!H24,'Income (Wales)'!Z24)</f>
        <v>19821.487933815606</v>
      </c>
    </row>
    <row r="25" spans="2:33" x14ac:dyDescent="0.25">
      <c r="B25" s="20">
        <v>31</v>
      </c>
      <c r="C25" s="58">
        <v>17727.45</v>
      </c>
      <c r="D25" s="59">
        <f>C25*(1+'Tenure Split (WALES)'!C$109)+(C$44*(-(50-$B25)*('Tenure Split (WALES)'!C$110/40)))</f>
        <v>18231.911490129951</v>
      </c>
      <c r="E25" s="59">
        <f>D25*(1+'Tenure Split (WALES)'!D$109)+(D$44*(-(50-$B25)*('Tenure Split (WALES)'!D$110/40)))</f>
        <v>18573.64636369716</v>
      </c>
      <c r="F25" s="59">
        <f>E25*(1+'Tenure Split (WALES)'!E$109)+(E$44*(-(50-$B25)*('Tenure Split (WALES)'!E$110/40)))</f>
        <v>19052.622475079414</v>
      </c>
      <c r="G25" s="59">
        <f>F25*(1+'Tenure Split (WALES)'!F$109)+(F$44*(-(50-$B25)*('Tenure Split (WALES)'!F$110/40)))</f>
        <v>19624.635715949164</v>
      </c>
      <c r="H25" s="60">
        <f>G25*(1+'Tenure Split (WALES)'!G$109)+(G$44*(-(50-$B25)*('Tenure Split (WALES)'!G$110/40)))</f>
        <v>20232.032846100294</v>
      </c>
      <c r="L25" s="64" t="str">
        <f t="shared" si="0"/>
        <v/>
      </c>
      <c r="M25" s="251"/>
      <c r="N25" s="14">
        <f t="shared" si="3"/>
        <v>1</v>
      </c>
      <c r="T25" s="1">
        <f t="shared" si="1"/>
        <v>31</v>
      </c>
      <c r="U25" s="4" t="str">
        <f t="shared" si="2"/>
        <v/>
      </c>
      <c r="V25" s="4" t="e">
        <f>IF($V$3=$M$3,M25,U25*(1+'Tenure Split (WALES)'!C$109)+(U$44*(-(50-$T25)*('Tenure Split (WALES)'!C$110/40))))</f>
        <v>#VALUE!</v>
      </c>
      <c r="W25" s="4" t="e">
        <f>V25*(1+'Tenure Split (WALES)'!D$109)+(V$44*(-(50-$T25)*('Tenure Split (WALES)'!D$110/40)))</f>
        <v>#VALUE!</v>
      </c>
      <c r="X25" s="4" t="e">
        <f>W25*(1+'Tenure Split (WALES)'!E$109)+(W$44*(-(50-$T25)*('Tenure Split (WALES)'!E$110/40)))</f>
        <v>#VALUE!</v>
      </c>
      <c r="Y25" s="4" t="e">
        <f>X25*(1+'Tenure Split (WALES)'!F$109)+(X$44*(-(50-$T25)*('Tenure Split (WALES)'!F$110/40)))</f>
        <v>#VALUE!</v>
      </c>
      <c r="Z25" s="4" t="e">
        <f>Y25*(1+'Tenure Split (WALES)'!G$109)+(Y$44*(-(50-$T25)*('Tenure Split (WALES)'!G$110/40)))</f>
        <v>#VALUE!</v>
      </c>
      <c r="AB25">
        <v>31</v>
      </c>
      <c r="AC25" s="4">
        <f>IF('Tenure Split (WALES)'!$D$8="WG Estimates",'Income (Wales)'!D25,'Income (Wales)'!V25)</f>
        <v>18231.911490129951</v>
      </c>
      <c r="AD25" s="4">
        <f>IF('Tenure Split (WALES)'!$D$8="WG Estimates",'Income (Wales)'!E25,'Income (Wales)'!W25)</f>
        <v>18573.64636369716</v>
      </c>
      <c r="AE25" s="4">
        <f>IF('Tenure Split (WALES)'!$D$8="WG Estimates",'Income (Wales)'!F25,'Income (Wales)'!X25)</f>
        <v>19052.622475079414</v>
      </c>
      <c r="AF25" s="4">
        <f>IF('Tenure Split (WALES)'!$D$8="WG Estimates",'Income (Wales)'!G25,'Income (Wales)'!Y25)</f>
        <v>19624.635715949164</v>
      </c>
      <c r="AG25" s="4">
        <f>IF('Tenure Split (WALES)'!$D$8="WG Estimates",'Income (Wales)'!H25,'Income (Wales)'!Z25)</f>
        <v>20232.032846100294</v>
      </c>
    </row>
    <row r="26" spans="2:33" x14ac:dyDescent="0.25">
      <c r="B26" s="20">
        <v>32</v>
      </c>
      <c r="C26" s="58">
        <v>18145.5</v>
      </c>
      <c r="D26" s="59">
        <f>C26*(1+'Tenure Split (WALES)'!C$109)+(C$44*(-(50-$B26)*('Tenure Split (WALES)'!C$110/40)))</f>
        <v>18671.208309088615</v>
      </c>
      <c r="E26" s="59">
        <f>D26*(1+'Tenure Split (WALES)'!D$109)+(D$44*(-(50-$B26)*('Tenure Split (WALES)'!D$110/40)))</f>
        <v>19030.923783789542</v>
      </c>
      <c r="F26" s="59">
        <f>E26*(1+'Tenure Split (WALES)'!E$109)+(E$44*(-(50-$B26)*('Tenure Split (WALES)'!E$110/40)))</f>
        <v>19531.757625602822</v>
      </c>
      <c r="G26" s="59">
        <f>F26*(1+'Tenure Split (WALES)'!F$109)+(F$44*(-(50-$B26)*('Tenure Split (WALES)'!F$110/40)))</f>
        <v>20128.622607661091</v>
      </c>
      <c r="H26" s="60">
        <f>G26*(1+'Tenure Split (WALES)'!G$109)+(G$44*(-(50-$B26)*('Tenure Split (WALES)'!G$110/40)))</f>
        <v>20762.5478694144</v>
      </c>
      <c r="L26" s="64" t="str">
        <f t="shared" si="0"/>
        <v/>
      </c>
      <c r="M26" s="251"/>
      <c r="N26" s="14">
        <f t="shared" si="3"/>
        <v>1</v>
      </c>
      <c r="T26" s="1">
        <f t="shared" si="1"/>
        <v>32</v>
      </c>
      <c r="U26" s="4" t="str">
        <f t="shared" si="2"/>
        <v/>
      </c>
      <c r="V26" s="4" t="e">
        <f>IF($V$3=$M$3,M26,U26*(1+'Tenure Split (WALES)'!C$109)+(U$44*(-(50-$T26)*('Tenure Split (WALES)'!C$110/40))))</f>
        <v>#VALUE!</v>
      </c>
      <c r="W26" s="4" t="e">
        <f>V26*(1+'Tenure Split (WALES)'!D$109)+(V$44*(-(50-$T26)*('Tenure Split (WALES)'!D$110/40)))</f>
        <v>#VALUE!</v>
      </c>
      <c r="X26" s="4" t="e">
        <f>W26*(1+'Tenure Split (WALES)'!E$109)+(W$44*(-(50-$T26)*('Tenure Split (WALES)'!E$110/40)))</f>
        <v>#VALUE!</v>
      </c>
      <c r="Y26" s="4" t="e">
        <f>X26*(1+'Tenure Split (WALES)'!F$109)+(X$44*(-(50-$T26)*('Tenure Split (WALES)'!F$110/40)))</f>
        <v>#VALUE!</v>
      </c>
      <c r="Z26" s="4" t="e">
        <f>Y26*(1+'Tenure Split (WALES)'!G$109)+(Y$44*(-(50-$T26)*('Tenure Split (WALES)'!G$110/40)))</f>
        <v>#VALUE!</v>
      </c>
      <c r="AB26">
        <v>32</v>
      </c>
      <c r="AC26" s="4">
        <f>IF('Tenure Split (WALES)'!$D$8="WG Estimates",'Income (Wales)'!D26,'Income (Wales)'!V26)</f>
        <v>18671.208309088615</v>
      </c>
      <c r="AD26" s="4">
        <f>IF('Tenure Split (WALES)'!$D$8="WG Estimates",'Income (Wales)'!E26,'Income (Wales)'!W26)</f>
        <v>19030.923783789542</v>
      </c>
      <c r="AE26" s="4">
        <f>IF('Tenure Split (WALES)'!$D$8="WG Estimates",'Income (Wales)'!F26,'Income (Wales)'!X26)</f>
        <v>19531.757625602822</v>
      </c>
      <c r="AF26" s="4">
        <f>IF('Tenure Split (WALES)'!$D$8="WG Estimates",'Income (Wales)'!G26,'Income (Wales)'!Y26)</f>
        <v>20128.622607661091</v>
      </c>
      <c r="AG26" s="4">
        <f>IF('Tenure Split (WALES)'!$D$8="WG Estimates",'Income (Wales)'!H26,'Income (Wales)'!Z26)</f>
        <v>20762.5478694144</v>
      </c>
    </row>
    <row r="27" spans="2:33" x14ac:dyDescent="0.25">
      <c r="B27" s="20">
        <v>33</v>
      </c>
      <c r="C27" s="58">
        <v>18572</v>
      </c>
      <c r="D27" s="59">
        <f>C27*(1+'Tenure Split (WALES)'!C$109)+(C$44*(-(50-$B27)*('Tenure Split (WALES)'!C$110/40)))</f>
        <v>19119.254066761732</v>
      </c>
      <c r="E27" s="59">
        <f>D27*(1+'Tenure Split (WALES)'!D$109)+(D$44*(-(50-$B27)*('Tenure Split (WALES)'!D$110/40)))</f>
        <v>19497.17508826117</v>
      </c>
      <c r="F27" s="59">
        <f>E27*(1+'Tenure Split (WALES)'!E$109)+(E$44*(-(50-$B27)*('Tenure Split (WALES)'!E$110/40)))</f>
        <v>20020.161030938423</v>
      </c>
      <c r="G27" s="59">
        <f>F27*(1+'Tenure Split (WALES)'!F$109)+(F$44*(-(50-$B27)*('Tenure Split (WALES)'!F$110/40)))</f>
        <v>20642.22147531667</v>
      </c>
      <c r="H27" s="60">
        <f>G27*(1+'Tenure Split (WALES)'!G$109)+(G$44*(-(50-$B27)*('Tenure Split (WALES)'!G$110/40)))</f>
        <v>21303.040721844631</v>
      </c>
      <c r="L27" s="64" t="str">
        <f t="shared" si="0"/>
        <v/>
      </c>
      <c r="M27" s="251"/>
      <c r="N27" s="14">
        <f t="shared" si="3"/>
        <v>1</v>
      </c>
      <c r="T27" s="1">
        <f t="shared" si="1"/>
        <v>33</v>
      </c>
      <c r="U27" s="4" t="str">
        <f t="shared" si="2"/>
        <v/>
      </c>
      <c r="V27" s="4" t="e">
        <f>IF($V$3=$M$3,M27,U27*(1+'Tenure Split (WALES)'!C$109)+(U$44*(-(50-$T27)*('Tenure Split (WALES)'!C$110/40))))</f>
        <v>#VALUE!</v>
      </c>
      <c r="W27" s="4" t="e">
        <f>V27*(1+'Tenure Split (WALES)'!D$109)+(V$44*(-(50-$T27)*('Tenure Split (WALES)'!D$110/40)))</f>
        <v>#VALUE!</v>
      </c>
      <c r="X27" s="4" t="e">
        <f>W27*(1+'Tenure Split (WALES)'!E$109)+(W$44*(-(50-$T27)*('Tenure Split (WALES)'!E$110/40)))</f>
        <v>#VALUE!</v>
      </c>
      <c r="Y27" s="4" t="e">
        <f>X27*(1+'Tenure Split (WALES)'!F$109)+(X$44*(-(50-$T27)*('Tenure Split (WALES)'!F$110/40)))</f>
        <v>#VALUE!</v>
      </c>
      <c r="Z27" s="4" t="e">
        <f>Y27*(1+'Tenure Split (WALES)'!G$109)+(Y$44*(-(50-$T27)*('Tenure Split (WALES)'!G$110/40)))</f>
        <v>#VALUE!</v>
      </c>
      <c r="AB27">
        <v>33</v>
      </c>
      <c r="AC27" s="4">
        <f>IF('Tenure Split (WALES)'!$D$8="WG Estimates",'Income (Wales)'!D27,'Income (Wales)'!V27)</f>
        <v>19119.254066761732</v>
      </c>
      <c r="AD27" s="4">
        <f>IF('Tenure Split (WALES)'!$D$8="WG Estimates",'Income (Wales)'!E27,'Income (Wales)'!W27)</f>
        <v>19497.17508826117</v>
      </c>
      <c r="AE27" s="4">
        <f>IF('Tenure Split (WALES)'!$D$8="WG Estimates",'Income (Wales)'!F27,'Income (Wales)'!X27)</f>
        <v>20020.161030938423</v>
      </c>
      <c r="AF27" s="4">
        <f>IF('Tenure Split (WALES)'!$D$8="WG Estimates",'Income (Wales)'!G27,'Income (Wales)'!Y27)</f>
        <v>20642.22147531667</v>
      </c>
      <c r="AG27" s="4">
        <f>IF('Tenure Split (WALES)'!$D$8="WG Estimates",'Income (Wales)'!H27,'Income (Wales)'!Z27)</f>
        <v>21303.040721844631</v>
      </c>
    </row>
    <row r="28" spans="2:33" x14ac:dyDescent="0.25">
      <c r="B28" s="20">
        <v>34</v>
      </c>
      <c r="C28" s="58">
        <v>18966.22</v>
      </c>
      <c r="D28" s="59">
        <f>C28*(1+'Tenure Split (WALES)'!C$109)+(C$44*(-(50-$B28)*('Tenure Split (WALES)'!C$110/40)))</f>
        <v>19533.877843168291</v>
      </c>
      <c r="E28" s="59">
        <f>D28*(1+'Tenure Split (WALES)'!D$109)+(D$44*(-(50-$B28)*('Tenure Split (WALES)'!D$110/40)))</f>
        <v>19929.145092405925</v>
      </c>
      <c r="F28" s="59">
        <f>E28*(1+'Tenure Split (WALES)'!E$109)+(E$44*(-(50-$B28)*('Tenure Split (WALES)'!E$110/40)))</f>
        <v>20473.158606056557</v>
      </c>
      <c r="G28" s="59">
        <f>F28*(1+'Tenure Split (WALES)'!F$109)+(F$44*(-(50-$B28)*('Tenure Split (WALES)'!F$110/40)))</f>
        <v>21119.101457355529</v>
      </c>
      <c r="H28" s="60">
        <f>G28*(1+'Tenure Split (WALES)'!G$109)+(G$44*(-(50-$B28)*('Tenure Split (WALES)'!G$110/40)))</f>
        <v>21805.417086243076</v>
      </c>
      <c r="L28" s="64" t="str">
        <f t="shared" si="0"/>
        <v/>
      </c>
      <c r="M28" s="251"/>
      <c r="N28" s="14">
        <f t="shared" si="3"/>
        <v>1</v>
      </c>
      <c r="T28" s="1">
        <f t="shared" si="1"/>
        <v>34</v>
      </c>
      <c r="U28" s="4" t="str">
        <f t="shared" si="2"/>
        <v/>
      </c>
      <c r="V28" s="4" t="e">
        <f>IF($V$3=$M$3,M28,U28*(1+'Tenure Split (WALES)'!C$109)+(U$44*(-(50-$T28)*('Tenure Split (WALES)'!C$110/40))))</f>
        <v>#VALUE!</v>
      </c>
      <c r="W28" s="4" t="e">
        <f>V28*(1+'Tenure Split (WALES)'!D$109)+(V$44*(-(50-$T28)*('Tenure Split (WALES)'!D$110/40)))</f>
        <v>#VALUE!</v>
      </c>
      <c r="X28" s="4" t="e">
        <f>W28*(1+'Tenure Split (WALES)'!E$109)+(W$44*(-(50-$T28)*('Tenure Split (WALES)'!E$110/40)))</f>
        <v>#VALUE!</v>
      </c>
      <c r="Y28" s="4" t="e">
        <f>X28*(1+'Tenure Split (WALES)'!F$109)+(X$44*(-(50-$T28)*('Tenure Split (WALES)'!F$110/40)))</f>
        <v>#VALUE!</v>
      </c>
      <c r="Z28" s="4" t="e">
        <f>Y28*(1+'Tenure Split (WALES)'!G$109)+(Y$44*(-(50-$T28)*('Tenure Split (WALES)'!G$110/40)))</f>
        <v>#VALUE!</v>
      </c>
      <c r="AB28">
        <v>34</v>
      </c>
      <c r="AC28" s="4">
        <f>IF('Tenure Split (WALES)'!$D$8="WG Estimates",'Income (Wales)'!D28,'Income (Wales)'!V28)</f>
        <v>19533.877843168291</v>
      </c>
      <c r="AD28" s="4">
        <f>IF('Tenure Split (WALES)'!$D$8="WG Estimates",'Income (Wales)'!E28,'Income (Wales)'!W28)</f>
        <v>19929.145092405925</v>
      </c>
      <c r="AE28" s="4">
        <f>IF('Tenure Split (WALES)'!$D$8="WG Estimates",'Income (Wales)'!F28,'Income (Wales)'!X28)</f>
        <v>20473.158606056557</v>
      </c>
      <c r="AF28" s="4">
        <f>IF('Tenure Split (WALES)'!$D$8="WG Estimates",'Income (Wales)'!G28,'Income (Wales)'!Y28)</f>
        <v>21119.101457355529</v>
      </c>
      <c r="AG28" s="4">
        <f>IF('Tenure Split (WALES)'!$D$8="WG Estimates",'Income (Wales)'!H28,'Income (Wales)'!Z28)</f>
        <v>21805.417086243076</v>
      </c>
    </row>
    <row r="29" spans="2:33" x14ac:dyDescent="0.25">
      <c r="B29" s="20">
        <v>35</v>
      </c>
      <c r="C29" s="58">
        <v>19362.75</v>
      </c>
      <c r="D29" s="59">
        <f>C29*(1+'Tenure Split (WALES)'!C$109)+(C$44*(-(50-$B29)*('Tenure Split (WALES)'!C$110/40)))</f>
        <v>19950.893341282583</v>
      </c>
      <c r="E29" s="59">
        <f>D29*(1+'Tenure Split (WALES)'!D$109)+(D$44*(-(50-$B29)*('Tenure Split (WALES)'!D$110/40)))</f>
        <v>20363.568312280378</v>
      </c>
      <c r="F29" s="59">
        <f>E29*(1+'Tenure Split (WALES)'!E$109)+(E$44*(-(50-$B29)*('Tenure Split (WALES)'!E$110/40)))</f>
        <v>20928.68986976831</v>
      </c>
      <c r="G29" s="59">
        <f>F29*(1+'Tenure Split (WALES)'!F$109)+(F$44*(-(50-$B29)*('Tenure Split (WALES)'!F$110/40)))</f>
        <v>21598.609091989631</v>
      </c>
      <c r="H29" s="60">
        <f>G29*(1+'Tenure Split (WALES)'!G$109)+(G$44*(-(50-$B29)*('Tenure Split (WALES)'!G$110/40)))</f>
        <v>22310.521117535987</v>
      </c>
      <c r="L29" s="64" t="str">
        <f t="shared" si="0"/>
        <v/>
      </c>
      <c r="M29" s="251"/>
      <c r="N29" s="14">
        <f t="shared" si="3"/>
        <v>1</v>
      </c>
      <c r="T29" s="1">
        <f t="shared" si="1"/>
        <v>35</v>
      </c>
      <c r="U29" s="4" t="str">
        <f t="shared" si="2"/>
        <v/>
      </c>
      <c r="V29" s="4" t="e">
        <f>IF($V$3=$M$3,M29,U29*(1+'Tenure Split (WALES)'!C$109)+(U$44*(-(50-$T29)*('Tenure Split (WALES)'!C$110/40))))</f>
        <v>#VALUE!</v>
      </c>
      <c r="W29" s="4" t="e">
        <f>V29*(1+'Tenure Split (WALES)'!D$109)+(V$44*(-(50-$T29)*('Tenure Split (WALES)'!D$110/40)))</f>
        <v>#VALUE!</v>
      </c>
      <c r="X29" s="4" t="e">
        <f>W29*(1+'Tenure Split (WALES)'!E$109)+(W$44*(-(50-$T29)*('Tenure Split (WALES)'!E$110/40)))</f>
        <v>#VALUE!</v>
      </c>
      <c r="Y29" s="4" t="e">
        <f>X29*(1+'Tenure Split (WALES)'!F$109)+(X$44*(-(50-$T29)*('Tenure Split (WALES)'!F$110/40)))</f>
        <v>#VALUE!</v>
      </c>
      <c r="Z29" s="4" t="e">
        <f>Y29*(1+'Tenure Split (WALES)'!G$109)+(Y$44*(-(50-$T29)*('Tenure Split (WALES)'!G$110/40)))</f>
        <v>#VALUE!</v>
      </c>
      <c r="AB29">
        <v>35</v>
      </c>
      <c r="AC29" s="4">
        <f>IF('Tenure Split (WALES)'!$D$8="WG Estimates",'Income (Wales)'!D29,'Income (Wales)'!V29)</f>
        <v>19950.893341282583</v>
      </c>
      <c r="AD29" s="4">
        <f>IF('Tenure Split (WALES)'!$D$8="WG Estimates",'Income (Wales)'!E29,'Income (Wales)'!W29)</f>
        <v>20363.568312280378</v>
      </c>
      <c r="AE29" s="4">
        <f>IF('Tenure Split (WALES)'!$D$8="WG Estimates",'Income (Wales)'!F29,'Income (Wales)'!X29)</f>
        <v>20928.68986976831</v>
      </c>
      <c r="AF29" s="4">
        <f>IF('Tenure Split (WALES)'!$D$8="WG Estimates",'Income (Wales)'!G29,'Income (Wales)'!Y29)</f>
        <v>21598.609091989631</v>
      </c>
      <c r="AG29" s="4">
        <f>IF('Tenure Split (WALES)'!$D$8="WG Estimates",'Income (Wales)'!H29,'Income (Wales)'!Z29)</f>
        <v>22310.521117535987</v>
      </c>
    </row>
    <row r="30" spans="2:33" x14ac:dyDescent="0.25">
      <c r="B30" s="20">
        <v>36</v>
      </c>
      <c r="C30" s="58">
        <v>19692.5</v>
      </c>
      <c r="D30" s="59">
        <f>C30*(1+'Tenure Split (WALES)'!C$109)+(C$44*(-(50-$B30)*('Tenure Split (WALES)'!C$110/40)))</f>
        <v>20298.766339118654</v>
      </c>
      <c r="E30" s="59">
        <f>D30*(1+'Tenure Split (WALES)'!D$109)+(D$44*(-(50-$B30)*('Tenure Split (WALES)'!D$110/40)))</f>
        <v>20727.071295604983</v>
      </c>
      <c r="F30" s="59">
        <f>E30*(1+'Tenure Split (WALES)'!E$109)+(E$44*(-(50-$B30)*('Tenure Split (WALES)'!E$110/40)))</f>
        <v>21310.974499591506</v>
      </c>
      <c r="G30" s="59">
        <f>F30*(1+'Tenure Split (WALES)'!F$109)+(F$44*(-(50-$B30)*('Tenure Split (WALES)'!F$110/40)))</f>
        <v>22002.153678870174</v>
      </c>
      <c r="H30" s="60">
        <f>G30*(1+'Tenure Split (WALES)'!G$109)+(G$44*(-(50-$B30)*('Tenure Split (WALES)'!G$110/40)))</f>
        <v>22736.770778607013</v>
      </c>
      <c r="L30" s="64" t="str">
        <f t="shared" si="0"/>
        <v/>
      </c>
      <c r="M30" s="251"/>
      <c r="N30" s="14">
        <f t="shared" si="3"/>
        <v>1</v>
      </c>
      <c r="T30" s="1">
        <f t="shared" si="1"/>
        <v>36</v>
      </c>
      <c r="U30" s="4" t="str">
        <f t="shared" si="2"/>
        <v/>
      </c>
      <c r="V30" s="4" t="e">
        <f>IF($V$3=$M$3,M30,U30*(1+'Tenure Split (WALES)'!C$109)+(U$44*(-(50-$T30)*('Tenure Split (WALES)'!C$110/40))))</f>
        <v>#VALUE!</v>
      </c>
      <c r="W30" s="4" t="e">
        <f>V30*(1+'Tenure Split (WALES)'!D$109)+(V$44*(-(50-$T30)*('Tenure Split (WALES)'!D$110/40)))</f>
        <v>#VALUE!</v>
      </c>
      <c r="X30" s="4" t="e">
        <f>W30*(1+'Tenure Split (WALES)'!E$109)+(W$44*(-(50-$T30)*('Tenure Split (WALES)'!E$110/40)))</f>
        <v>#VALUE!</v>
      </c>
      <c r="Y30" s="4" t="e">
        <f>X30*(1+'Tenure Split (WALES)'!F$109)+(X$44*(-(50-$T30)*('Tenure Split (WALES)'!F$110/40)))</f>
        <v>#VALUE!</v>
      </c>
      <c r="Z30" s="4" t="e">
        <f>Y30*(1+'Tenure Split (WALES)'!G$109)+(Y$44*(-(50-$T30)*('Tenure Split (WALES)'!G$110/40)))</f>
        <v>#VALUE!</v>
      </c>
      <c r="AB30">
        <v>36</v>
      </c>
      <c r="AC30" s="4">
        <f>IF('Tenure Split (WALES)'!$D$8="WG Estimates",'Income (Wales)'!D30,'Income (Wales)'!V30)</f>
        <v>20298.766339118654</v>
      </c>
      <c r="AD30" s="4">
        <f>IF('Tenure Split (WALES)'!$D$8="WG Estimates",'Income (Wales)'!E30,'Income (Wales)'!W30)</f>
        <v>20727.071295604983</v>
      </c>
      <c r="AE30" s="4">
        <f>IF('Tenure Split (WALES)'!$D$8="WG Estimates",'Income (Wales)'!F30,'Income (Wales)'!X30)</f>
        <v>21310.974499591506</v>
      </c>
      <c r="AF30" s="4">
        <f>IF('Tenure Split (WALES)'!$D$8="WG Estimates",'Income (Wales)'!G30,'Income (Wales)'!Y30)</f>
        <v>22002.153678870174</v>
      </c>
      <c r="AG30" s="4">
        <f>IF('Tenure Split (WALES)'!$D$8="WG Estimates",'Income (Wales)'!H30,'Income (Wales)'!Z30)</f>
        <v>22736.770778607013</v>
      </c>
    </row>
    <row r="31" spans="2:33" x14ac:dyDescent="0.25">
      <c r="B31" s="20">
        <v>37</v>
      </c>
      <c r="C31" s="58">
        <v>20073.233</v>
      </c>
      <c r="D31" s="59">
        <f>C31*(1+'Tenure Split (WALES)'!C$109)+(C$44*(-(50-$B31)*('Tenure Split (WALES)'!C$110/40)))</f>
        <v>20699.425981035063</v>
      </c>
      <c r="E31" s="59">
        <f>D31*(1+'Tenure Split (WALES)'!D$109)+(D$44*(-(50-$B31)*('Tenure Split (WALES)'!D$110/40)))</f>
        <v>21144.718130681937</v>
      </c>
      <c r="F31" s="59">
        <f>E31*(1+'Tenure Split (WALES)'!E$109)+(E$44*(-(50-$B31)*('Tenure Split (WALES)'!E$110/40)))</f>
        <v>21749.17906256147</v>
      </c>
      <c r="G31" s="59">
        <f>F31*(1+'Tenure Split (WALES)'!F$109)+(F$44*(-(50-$B31)*('Tenure Split (WALES)'!F$110/40)))</f>
        <v>22463.692037293396</v>
      </c>
      <c r="H31" s="60">
        <f>G31*(1+'Tenure Split (WALES)'!G$109)+(G$44*(-(50-$B31)*('Tenure Split (WALES)'!G$110/40)))</f>
        <v>23223.22158308958</v>
      </c>
      <c r="L31" s="64" t="str">
        <f t="shared" si="0"/>
        <v/>
      </c>
      <c r="M31" s="251"/>
      <c r="N31" s="14">
        <f t="shared" si="3"/>
        <v>1</v>
      </c>
      <c r="T31" s="1">
        <f t="shared" si="1"/>
        <v>37</v>
      </c>
      <c r="U31" s="4" t="str">
        <f t="shared" si="2"/>
        <v/>
      </c>
      <c r="V31" s="4" t="e">
        <f>IF($V$3=$M$3,M31,U31*(1+'Tenure Split (WALES)'!C$109)+(U$44*(-(50-$T31)*('Tenure Split (WALES)'!C$110/40))))</f>
        <v>#VALUE!</v>
      </c>
      <c r="W31" s="4" t="e">
        <f>V31*(1+'Tenure Split (WALES)'!D$109)+(V$44*(-(50-$T31)*('Tenure Split (WALES)'!D$110/40)))</f>
        <v>#VALUE!</v>
      </c>
      <c r="X31" s="4" t="e">
        <f>W31*(1+'Tenure Split (WALES)'!E$109)+(W$44*(-(50-$T31)*('Tenure Split (WALES)'!E$110/40)))</f>
        <v>#VALUE!</v>
      </c>
      <c r="Y31" s="4" t="e">
        <f>X31*(1+'Tenure Split (WALES)'!F$109)+(X$44*(-(50-$T31)*('Tenure Split (WALES)'!F$110/40)))</f>
        <v>#VALUE!</v>
      </c>
      <c r="Z31" s="4" t="e">
        <f>Y31*(1+'Tenure Split (WALES)'!G$109)+(Y$44*(-(50-$T31)*('Tenure Split (WALES)'!G$110/40)))</f>
        <v>#VALUE!</v>
      </c>
      <c r="AB31">
        <v>37</v>
      </c>
      <c r="AC31" s="4">
        <f>IF('Tenure Split (WALES)'!$D$8="WG Estimates",'Income (Wales)'!D31,'Income (Wales)'!V31)</f>
        <v>20699.425981035063</v>
      </c>
      <c r="AD31" s="4">
        <f>IF('Tenure Split (WALES)'!$D$8="WG Estimates",'Income (Wales)'!E31,'Income (Wales)'!W31)</f>
        <v>21144.718130681937</v>
      </c>
      <c r="AE31" s="4">
        <f>IF('Tenure Split (WALES)'!$D$8="WG Estimates",'Income (Wales)'!F31,'Income (Wales)'!X31)</f>
        <v>21749.17906256147</v>
      </c>
      <c r="AF31" s="4">
        <f>IF('Tenure Split (WALES)'!$D$8="WG Estimates",'Income (Wales)'!G31,'Income (Wales)'!Y31)</f>
        <v>22463.692037293396</v>
      </c>
      <c r="AG31" s="4">
        <f>IF('Tenure Split (WALES)'!$D$8="WG Estimates",'Income (Wales)'!H31,'Income (Wales)'!Z31)</f>
        <v>23223.22158308958</v>
      </c>
    </row>
    <row r="32" spans="2:33" x14ac:dyDescent="0.25">
      <c r="B32" s="20">
        <v>38</v>
      </c>
      <c r="C32" s="58">
        <v>20488</v>
      </c>
      <c r="D32" s="59">
        <f>C32*(1+'Tenure Split (WALES)'!C$109)+(C$44*(-(50-$B32)*('Tenure Split (WALES)'!C$110/40)))</f>
        <v>21135.323656112127</v>
      </c>
      <c r="E32" s="59">
        <f>D32*(1+'Tenure Split (WALES)'!D$109)+(D$44*(-(50-$B32)*('Tenure Split (WALES)'!D$110/40)))</f>
        <v>21598.5090108433</v>
      </c>
      <c r="F32" s="59">
        <f>E32*(1+'Tenure Split (WALES)'!E$109)+(E$44*(-(50-$B32)*('Tenure Split (WALES)'!E$110/40)))</f>
        <v>22224.713304144228</v>
      </c>
      <c r="G32" s="59">
        <f>F32*(1+'Tenure Split (WALES)'!F$109)+(F$44*(-(50-$B32)*('Tenure Split (WALES)'!F$110/40)))</f>
        <v>22963.944477286612</v>
      </c>
      <c r="H32" s="60">
        <f>G32*(1+'Tenure Split (WALES)'!G$109)+(G$44*(-(50-$B32)*('Tenure Split (WALES)'!G$110/40)))</f>
        <v>23749.860013150628</v>
      </c>
      <c r="L32" s="64" t="str">
        <f t="shared" si="0"/>
        <v/>
      </c>
      <c r="M32" s="251"/>
      <c r="N32" s="14">
        <f t="shared" si="3"/>
        <v>1</v>
      </c>
      <c r="T32" s="1">
        <f t="shared" si="1"/>
        <v>38</v>
      </c>
      <c r="U32" s="4" t="str">
        <f t="shared" si="2"/>
        <v/>
      </c>
      <c r="V32" s="4" t="e">
        <f>IF($V$3=$M$3,M32,U32*(1+'Tenure Split (WALES)'!C$109)+(U$44*(-(50-$T32)*('Tenure Split (WALES)'!C$110/40))))</f>
        <v>#VALUE!</v>
      </c>
      <c r="W32" s="4" t="e">
        <f>V32*(1+'Tenure Split (WALES)'!D$109)+(V$44*(-(50-$T32)*('Tenure Split (WALES)'!D$110/40)))</f>
        <v>#VALUE!</v>
      </c>
      <c r="X32" s="4" t="e">
        <f>W32*(1+'Tenure Split (WALES)'!E$109)+(W$44*(-(50-$T32)*('Tenure Split (WALES)'!E$110/40)))</f>
        <v>#VALUE!</v>
      </c>
      <c r="Y32" s="4" t="e">
        <f>X32*(1+'Tenure Split (WALES)'!F$109)+(X$44*(-(50-$T32)*('Tenure Split (WALES)'!F$110/40)))</f>
        <v>#VALUE!</v>
      </c>
      <c r="Z32" s="4" t="e">
        <f>Y32*(1+'Tenure Split (WALES)'!G$109)+(Y$44*(-(50-$T32)*('Tenure Split (WALES)'!G$110/40)))</f>
        <v>#VALUE!</v>
      </c>
      <c r="AB32">
        <v>38</v>
      </c>
      <c r="AC32" s="4">
        <f>IF('Tenure Split (WALES)'!$D$8="WG Estimates",'Income (Wales)'!D32,'Income (Wales)'!V32)</f>
        <v>21135.323656112127</v>
      </c>
      <c r="AD32" s="4">
        <f>IF('Tenure Split (WALES)'!$D$8="WG Estimates",'Income (Wales)'!E32,'Income (Wales)'!W32)</f>
        <v>21598.5090108433</v>
      </c>
      <c r="AE32" s="4">
        <f>IF('Tenure Split (WALES)'!$D$8="WG Estimates",'Income (Wales)'!F32,'Income (Wales)'!X32)</f>
        <v>22224.713304144228</v>
      </c>
      <c r="AF32" s="4">
        <f>IF('Tenure Split (WALES)'!$D$8="WG Estimates",'Income (Wales)'!G32,'Income (Wales)'!Y32)</f>
        <v>22963.944477286612</v>
      </c>
      <c r="AG32" s="4">
        <f>IF('Tenure Split (WALES)'!$D$8="WG Estimates",'Income (Wales)'!H32,'Income (Wales)'!Z32)</f>
        <v>23749.860013150628</v>
      </c>
    </row>
    <row r="33" spans="2:33" x14ac:dyDescent="0.25">
      <c r="B33" s="20">
        <v>39</v>
      </c>
      <c r="C33" s="58">
        <v>21011.25</v>
      </c>
      <c r="D33" s="59">
        <f>C33*(1+'Tenure Split (WALES)'!C$109)+(C$44*(-(50-$B33)*('Tenure Split (WALES)'!C$110/40)))</f>
        <v>21683.542173622285</v>
      </c>
      <c r="E33" s="59">
        <f>D33*(1+'Tenure Split (WALES)'!D$109)+(D$44*(-(50-$B33)*('Tenure Split (WALES)'!D$110/40)))</f>
        <v>22167.508636461949</v>
      </c>
      <c r="F33" s="59">
        <f>E33*(1+'Tenure Split (WALES)'!E$109)+(E$44*(-(50-$B33)*('Tenure Split (WALES)'!E$110/40)))</f>
        <v>22819.235484992227</v>
      </c>
      <c r="G33" s="59">
        <f>F33*(1+'Tenure Split (WALES)'!F$109)+(F$44*(-(50-$B33)*('Tenure Split (WALES)'!F$110/40)))</f>
        <v>23587.597625717226</v>
      </c>
      <c r="H33" s="60">
        <f>G33*(1+'Tenure Split (WALES)'!G$109)+(G$44*(-(50-$B33)*('Tenure Split (WALES)'!G$110/40)))</f>
        <v>24404.596056940063</v>
      </c>
      <c r="L33" s="64" t="str">
        <f t="shared" si="0"/>
        <v/>
      </c>
      <c r="M33" s="251"/>
      <c r="N33" s="14">
        <f t="shared" si="3"/>
        <v>1</v>
      </c>
      <c r="T33" s="1">
        <f t="shared" si="1"/>
        <v>39</v>
      </c>
      <c r="U33" s="4" t="str">
        <f t="shared" si="2"/>
        <v/>
      </c>
      <c r="V33" s="4" t="e">
        <f>IF($V$3=$M$3,M33,U33*(1+'Tenure Split (WALES)'!C$109)+(U$44*(-(50-$T33)*('Tenure Split (WALES)'!C$110/40))))</f>
        <v>#VALUE!</v>
      </c>
      <c r="W33" s="4" t="e">
        <f>V33*(1+'Tenure Split (WALES)'!D$109)+(V$44*(-(50-$T33)*('Tenure Split (WALES)'!D$110/40)))</f>
        <v>#VALUE!</v>
      </c>
      <c r="X33" s="4" t="e">
        <f>W33*(1+'Tenure Split (WALES)'!E$109)+(W$44*(-(50-$T33)*('Tenure Split (WALES)'!E$110/40)))</f>
        <v>#VALUE!</v>
      </c>
      <c r="Y33" s="4" t="e">
        <f>X33*(1+'Tenure Split (WALES)'!F$109)+(X$44*(-(50-$T33)*('Tenure Split (WALES)'!F$110/40)))</f>
        <v>#VALUE!</v>
      </c>
      <c r="Z33" s="4" t="e">
        <f>Y33*(1+'Tenure Split (WALES)'!G$109)+(Y$44*(-(50-$T33)*('Tenure Split (WALES)'!G$110/40)))</f>
        <v>#VALUE!</v>
      </c>
      <c r="AB33">
        <v>39</v>
      </c>
      <c r="AC33" s="4">
        <f>IF('Tenure Split (WALES)'!$D$8="WG Estimates",'Income (Wales)'!D33,'Income (Wales)'!V33)</f>
        <v>21683.542173622285</v>
      </c>
      <c r="AD33" s="4">
        <f>IF('Tenure Split (WALES)'!$D$8="WG Estimates",'Income (Wales)'!E33,'Income (Wales)'!W33)</f>
        <v>22167.508636461949</v>
      </c>
      <c r="AE33" s="4">
        <f>IF('Tenure Split (WALES)'!$D$8="WG Estimates",'Income (Wales)'!F33,'Income (Wales)'!X33)</f>
        <v>22819.235484992227</v>
      </c>
      <c r="AF33" s="4">
        <f>IF('Tenure Split (WALES)'!$D$8="WG Estimates",'Income (Wales)'!G33,'Income (Wales)'!Y33)</f>
        <v>23587.597625717226</v>
      </c>
      <c r="AG33" s="4">
        <f>IF('Tenure Split (WALES)'!$D$8="WG Estimates",'Income (Wales)'!H33,'Income (Wales)'!Z33)</f>
        <v>24404.596056940063</v>
      </c>
    </row>
    <row r="34" spans="2:33" x14ac:dyDescent="0.25">
      <c r="B34" s="20">
        <v>40</v>
      </c>
      <c r="C34" s="58">
        <v>21350</v>
      </c>
      <c r="D34" s="59">
        <f>C34*(1+'Tenure Split (WALES)'!C$109)+(C$44*(-(50-$B34)*('Tenure Split (WALES)'!C$110/40)))</f>
        <v>22040.733567722273</v>
      </c>
      <c r="E34" s="59">
        <f>D34*(1+'Tenure Split (WALES)'!D$109)+(D$44*(-(50-$B34)*('Tenure Split (WALES)'!D$110/40)))</f>
        <v>22540.569603149077</v>
      </c>
      <c r="F34" s="59">
        <f>E34*(1+'Tenure Split (WALES)'!E$109)+(E$44*(-(50-$B34)*('Tenure Split (WALES)'!E$110/40)))</f>
        <v>23211.391628816586</v>
      </c>
      <c r="G34" s="59">
        <f>F34*(1+'Tenure Split (WALES)'!F$109)+(F$44*(-(50-$B34)*('Tenure Split (WALES)'!F$110/40)))</f>
        <v>24001.379820111735</v>
      </c>
      <c r="H34" s="60">
        <f>G34*(1+'Tenure Split (WALES)'!G$109)+(G$44*(-(50-$B34)*('Tenure Split (WALES)'!G$110/40)))</f>
        <v>24841.472991625902</v>
      </c>
      <c r="L34" s="64" t="str">
        <f t="shared" si="0"/>
        <v/>
      </c>
      <c r="M34" s="251"/>
      <c r="N34" s="14">
        <f t="shared" si="3"/>
        <v>1</v>
      </c>
      <c r="T34" s="1">
        <f t="shared" si="1"/>
        <v>40</v>
      </c>
      <c r="U34" s="4" t="str">
        <f t="shared" si="2"/>
        <v/>
      </c>
      <c r="V34" s="4" t="e">
        <f>IF($V$3=$M$3,M34,U34*(1+'Tenure Split (WALES)'!C$109)+(U$44*(-(50-$T34)*('Tenure Split (WALES)'!C$110/40))))</f>
        <v>#VALUE!</v>
      </c>
      <c r="W34" s="4" t="e">
        <f>V34*(1+'Tenure Split (WALES)'!D$109)+(V$44*(-(50-$T34)*('Tenure Split (WALES)'!D$110/40)))</f>
        <v>#VALUE!</v>
      </c>
      <c r="X34" s="4" t="e">
        <f>W34*(1+'Tenure Split (WALES)'!E$109)+(W$44*(-(50-$T34)*('Tenure Split (WALES)'!E$110/40)))</f>
        <v>#VALUE!</v>
      </c>
      <c r="Y34" s="4" t="e">
        <f>X34*(1+'Tenure Split (WALES)'!F$109)+(X$44*(-(50-$T34)*('Tenure Split (WALES)'!F$110/40)))</f>
        <v>#VALUE!</v>
      </c>
      <c r="Z34" s="4" t="e">
        <f>Y34*(1+'Tenure Split (WALES)'!G$109)+(Y$44*(-(50-$T34)*('Tenure Split (WALES)'!G$110/40)))</f>
        <v>#VALUE!</v>
      </c>
      <c r="AB34">
        <v>40</v>
      </c>
      <c r="AC34" s="4">
        <f>IF('Tenure Split (WALES)'!$D$8="WG Estimates",'Income (Wales)'!D34,'Income (Wales)'!V34)</f>
        <v>22040.733567722273</v>
      </c>
      <c r="AD34" s="4">
        <f>IF('Tenure Split (WALES)'!$D$8="WG Estimates",'Income (Wales)'!E34,'Income (Wales)'!W34)</f>
        <v>22540.569603149077</v>
      </c>
      <c r="AE34" s="4">
        <f>IF('Tenure Split (WALES)'!$D$8="WG Estimates",'Income (Wales)'!F34,'Income (Wales)'!X34)</f>
        <v>23211.391628816586</v>
      </c>
      <c r="AF34" s="4">
        <f>IF('Tenure Split (WALES)'!$D$8="WG Estimates",'Income (Wales)'!G34,'Income (Wales)'!Y34)</f>
        <v>24001.379820111735</v>
      </c>
      <c r="AG34" s="4">
        <f>IF('Tenure Split (WALES)'!$D$8="WG Estimates",'Income (Wales)'!H34,'Income (Wales)'!Z34)</f>
        <v>24841.472991625902</v>
      </c>
    </row>
    <row r="35" spans="2:33" x14ac:dyDescent="0.25">
      <c r="B35" s="20">
        <v>41</v>
      </c>
      <c r="C35" s="58">
        <v>21799</v>
      </c>
      <c r="D35" s="59">
        <f>C35*(1+'Tenure Split (WALES)'!C$109)+(C$44*(-(50-$B35)*('Tenure Split (WALES)'!C$110/40)))</f>
        <v>22512.075316055165</v>
      </c>
      <c r="E35" s="59">
        <f>D35*(1+'Tenure Split (WALES)'!D$109)+(D$44*(-(50-$B35)*('Tenure Split (WALES)'!D$110/40)))</f>
        <v>23030.715866026985</v>
      </c>
      <c r="F35" s="59">
        <f>E35*(1+'Tenure Split (WALES)'!E$109)+(E$44*(-(50-$B35)*('Tenure Split (WALES)'!E$110/40)))</f>
        <v>23724.473819155064</v>
      </c>
      <c r="G35" s="59">
        <f>F35*(1+'Tenure Split (WALES)'!F$109)+(F$44*(-(50-$B35)*('Tenure Split (WALES)'!F$110/40)))</f>
        <v>24540.572706552201</v>
      </c>
      <c r="H35" s="60">
        <f>G35*(1+'Tenure Split (WALES)'!G$109)+(G$44*(-(50-$B35)*('Tenure Split (WALES)'!G$110/40)))</f>
        <v>25408.534028093149</v>
      </c>
      <c r="L35" s="64" t="str">
        <f t="shared" si="0"/>
        <v/>
      </c>
      <c r="M35" s="251"/>
      <c r="N35" s="14">
        <f t="shared" si="3"/>
        <v>1</v>
      </c>
      <c r="T35" s="1">
        <f t="shared" si="1"/>
        <v>41</v>
      </c>
      <c r="U35" s="4" t="str">
        <f t="shared" si="2"/>
        <v/>
      </c>
      <c r="V35" s="4" t="e">
        <f>IF($V$3=$M$3,M35,U35*(1+'Tenure Split (WALES)'!C$109)+(U$44*(-(50-$T35)*('Tenure Split (WALES)'!C$110/40))))</f>
        <v>#VALUE!</v>
      </c>
      <c r="W35" s="4" t="e">
        <f>V35*(1+'Tenure Split (WALES)'!D$109)+(V$44*(-(50-$T35)*('Tenure Split (WALES)'!D$110/40)))</f>
        <v>#VALUE!</v>
      </c>
      <c r="X35" s="4" t="e">
        <f>W35*(1+'Tenure Split (WALES)'!E$109)+(W$44*(-(50-$T35)*('Tenure Split (WALES)'!E$110/40)))</f>
        <v>#VALUE!</v>
      </c>
      <c r="Y35" s="4" t="e">
        <f>X35*(1+'Tenure Split (WALES)'!F$109)+(X$44*(-(50-$T35)*('Tenure Split (WALES)'!F$110/40)))</f>
        <v>#VALUE!</v>
      </c>
      <c r="Z35" s="4" t="e">
        <f>Y35*(1+'Tenure Split (WALES)'!G$109)+(Y$44*(-(50-$T35)*('Tenure Split (WALES)'!G$110/40)))</f>
        <v>#VALUE!</v>
      </c>
      <c r="AB35">
        <v>41</v>
      </c>
      <c r="AC35" s="4">
        <f>IF('Tenure Split (WALES)'!$D$8="WG Estimates",'Income (Wales)'!D35,'Income (Wales)'!V35)</f>
        <v>22512.075316055165</v>
      </c>
      <c r="AD35" s="4">
        <f>IF('Tenure Split (WALES)'!$D$8="WG Estimates",'Income (Wales)'!E35,'Income (Wales)'!W35)</f>
        <v>23030.715866026985</v>
      </c>
      <c r="AE35" s="4">
        <f>IF('Tenure Split (WALES)'!$D$8="WG Estimates",'Income (Wales)'!F35,'Income (Wales)'!X35)</f>
        <v>23724.473819155064</v>
      </c>
      <c r="AF35" s="4">
        <f>IF('Tenure Split (WALES)'!$D$8="WG Estimates",'Income (Wales)'!G35,'Income (Wales)'!Y35)</f>
        <v>24540.572706552201</v>
      </c>
      <c r="AG35" s="4">
        <f>IF('Tenure Split (WALES)'!$D$8="WG Estimates",'Income (Wales)'!H35,'Income (Wales)'!Z35)</f>
        <v>25408.534028093149</v>
      </c>
    </row>
    <row r="36" spans="2:33" x14ac:dyDescent="0.25">
      <c r="B36" s="20">
        <v>42</v>
      </c>
      <c r="C36" s="58">
        <v>22199.5</v>
      </c>
      <c r="D36" s="59">
        <f>C36*(1+'Tenure Split (WALES)'!C$109)+(C$44*(-(50-$B36)*('Tenure Split (WALES)'!C$110/40)))</f>
        <v>22933.201262299204</v>
      </c>
      <c r="E36" s="59">
        <f>D36*(1+'Tenure Split (WALES)'!D$109)+(D$44*(-(50-$B36)*('Tenure Split (WALES)'!D$110/40)))</f>
        <v>23469.355218562465</v>
      </c>
      <c r="F36" s="59">
        <f>E36*(1+'Tenure Split (WALES)'!E$109)+(E$44*(-(50-$B36)*('Tenure Split (WALES)'!E$110/40)))</f>
        <v>24184.359517376219</v>
      </c>
      <c r="G36" s="59">
        <f>F36*(1+'Tenure Split (WALES)'!F$109)+(F$44*(-(50-$B36)*('Tenure Split (WALES)'!F$110/40)))</f>
        <v>25024.596263611904</v>
      </c>
      <c r="H36" s="60">
        <f>G36*(1+'Tenure Split (WALES)'!G$109)+(G$44*(-(50-$B36)*('Tenure Split (WALES)'!G$110/40)))</f>
        <v>25918.32586785837</v>
      </c>
      <c r="L36" s="64" t="str">
        <f t="shared" ref="L36:L67" si="4">IF(ISBLANK($K$4),"",B36)</f>
        <v/>
      </c>
      <c r="M36" s="251"/>
      <c r="N36" s="14">
        <f t="shared" si="3"/>
        <v>1</v>
      </c>
      <c r="T36" s="1">
        <f t="shared" ref="T36:T67" si="5">B36</f>
        <v>42</v>
      </c>
      <c r="U36" s="4" t="str">
        <f t="shared" ref="U36:U67" si="6">IF($M$3=$U$3,M36,"")</f>
        <v/>
      </c>
      <c r="V36" s="4" t="e">
        <f>IF($V$3=$M$3,M36,U36*(1+'Tenure Split (WALES)'!C$109)+(U$44*(-(50-$T36)*('Tenure Split (WALES)'!C$110/40))))</f>
        <v>#VALUE!</v>
      </c>
      <c r="W36" s="4" t="e">
        <f>V36*(1+'Tenure Split (WALES)'!D$109)+(V$44*(-(50-$T36)*('Tenure Split (WALES)'!D$110/40)))</f>
        <v>#VALUE!</v>
      </c>
      <c r="X36" s="4" t="e">
        <f>W36*(1+'Tenure Split (WALES)'!E$109)+(W$44*(-(50-$T36)*('Tenure Split (WALES)'!E$110/40)))</f>
        <v>#VALUE!</v>
      </c>
      <c r="Y36" s="4" t="e">
        <f>X36*(1+'Tenure Split (WALES)'!F$109)+(X$44*(-(50-$T36)*('Tenure Split (WALES)'!F$110/40)))</f>
        <v>#VALUE!</v>
      </c>
      <c r="Z36" s="4" t="e">
        <f>Y36*(1+'Tenure Split (WALES)'!G$109)+(Y$44*(-(50-$T36)*('Tenure Split (WALES)'!G$110/40)))</f>
        <v>#VALUE!</v>
      </c>
      <c r="AB36">
        <v>42</v>
      </c>
      <c r="AC36" s="4">
        <f>IF('Tenure Split (WALES)'!$D$8="WG Estimates",'Income (Wales)'!D36,'Income (Wales)'!V36)</f>
        <v>22933.201262299204</v>
      </c>
      <c r="AD36" s="4">
        <f>IF('Tenure Split (WALES)'!$D$8="WG Estimates",'Income (Wales)'!E36,'Income (Wales)'!W36)</f>
        <v>23469.355218562465</v>
      </c>
      <c r="AE36" s="4">
        <f>IF('Tenure Split (WALES)'!$D$8="WG Estimates",'Income (Wales)'!F36,'Income (Wales)'!X36)</f>
        <v>24184.359517376219</v>
      </c>
      <c r="AF36" s="4">
        <f>IF('Tenure Split (WALES)'!$D$8="WG Estimates",'Income (Wales)'!G36,'Income (Wales)'!Y36)</f>
        <v>25024.596263611904</v>
      </c>
      <c r="AG36" s="4">
        <f>IF('Tenure Split (WALES)'!$D$8="WG Estimates",'Income (Wales)'!H36,'Income (Wales)'!Z36)</f>
        <v>25918.32586785837</v>
      </c>
    </row>
    <row r="37" spans="2:33" x14ac:dyDescent="0.25">
      <c r="B37" s="20">
        <v>43</v>
      </c>
      <c r="C37" s="58">
        <v>22742</v>
      </c>
      <c r="D37" s="59">
        <f>C37*(1+'Tenure Split (WALES)'!C$109)+(C$44*(-(50-$B37)*('Tenure Split (WALES)'!C$110/40)))</f>
        <v>23501.350794040511</v>
      </c>
      <c r="E37" s="59">
        <f>D37*(1+'Tenure Split (WALES)'!D$109)+(D$44*(-(50-$B37)*('Tenure Split (WALES)'!D$110/40)))</f>
        <v>24058.798308595386</v>
      </c>
      <c r="F37" s="59">
        <f>E37*(1+'Tenure Split (WALES)'!E$109)+(E$44*(-(50-$B37)*('Tenure Split (WALES)'!E$110/40)))</f>
        <v>24799.995769837806</v>
      </c>
      <c r="G37" s="59">
        <f>F37*(1+'Tenure Split (WALES)'!F$109)+(F$44*(-(50-$B37)*('Tenure Split (WALES)'!F$110/40)))</f>
        <v>25670.146517002937</v>
      </c>
      <c r="H37" s="60">
        <f>G37*(1+'Tenure Split (WALES)'!G$109)+(G$44*(-(50-$B37)*('Tenure Split (WALES)'!G$110/40)))</f>
        <v>26595.792469101711</v>
      </c>
      <c r="L37" s="64" t="str">
        <f t="shared" si="4"/>
        <v/>
      </c>
      <c r="M37" s="251"/>
      <c r="N37" s="14">
        <f t="shared" si="3"/>
        <v>1</v>
      </c>
      <c r="T37" s="1">
        <f t="shared" si="5"/>
        <v>43</v>
      </c>
      <c r="U37" s="4" t="str">
        <f t="shared" si="6"/>
        <v/>
      </c>
      <c r="V37" s="4" t="e">
        <f>IF($V$3=$M$3,M37,U37*(1+'Tenure Split (WALES)'!C$109)+(U$44*(-(50-$T37)*('Tenure Split (WALES)'!C$110/40))))</f>
        <v>#VALUE!</v>
      </c>
      <c r="W37" s="4" t="e">
        <f>V37*(1+'Tenure Split (WALES)'!D$109)+(V$44*(-(50-$T37)*('Tenure Split (WALES)'!D$110/40)))</f>
        <v>#VALUE!</v>
      </c>
      <c r="X37" s="4" t="e">
        <f>W37*(1+'Tenure Split (WALES)'!E$109)+(W$44*(-(50-$T37)*('Tenure Split (WALES)'!E$110/40)))</f>
        <v>#VALUE!</v>
      </c>
      <c r="Y37" s="4" t="e">
        <f>X37*(1+'Tenure Split (WALES)'!F$109)+(X$44*(-(50-$T37)*('Tenure Split (WALES)'!F$110/40)))</f>
        <v>#VALUE!</v>
      </c>
      <c r="Z37" s="4" t="e">
        <f>Y37*(1+'Tenure Split (WALES)'!G$109)+(Y$44*(-(50-$T37)*('Tenure Split (WALES)'!G$110/40)))</f>
        <v>#VALUE!</v>
      </c>
      <c r="AB37">
        <v>43</v>
      </c>
      <c r="AC37" s="4">
        <f>IF('Tenure Split (WALES)'!$D$8="WG Estimates",'Income (Wales)'!D37,'Income (Wales)'!V37)</f>
        <v>23501.350794040511</v>
      </c>
      <c r="AD37" s="4">
        <f>IF('Tenure Split (WALES)'!$D$8="WG Estimates",'Income (Wales)'!E37,'Income (Wales)'!W37)</f>
        <v>24058.798308595386</v>
      </c>
      <c r="AE37" s="4">
        <f>IF('Tenure Split (WALES)'!$D$8="WG Estimates",'Income (Wales)'!F37,'Income (Wales)'!X37)</f>
        <v>24799.995769837806</v>
      </c>
      <c r="AF37" s="4">
        <f>IF('Tenure Split (WALES)'!$D$8="WG Estimates",'Income (Wales)'!G37,'Income (Wales)'!Y37)</f>
        <v>25670.146517002937</v>
      </c>
      <c r="AG37" s="4">
        <f>IF('Tenure Split (WALES)'!$D$8="WG Estimates",'Income (Wales)'!H37,'Income (Wales)'!Z37)</f>
        <v>26595.792469101711</v>
      </c>
    </row>
    <row r="38" spans="2:33" x14ac:dyDescent="0.25">
      <c r="B38" s="20">
        <v>44</v>
      </c>
      <c r="C38" s="58">
        <v>23187.5</v>
      </c>
      <c r="D38" s="59">
        <f>C38*(1+'Tenure Split (WALES)'!C$109)+(C$44*(-(50-$B38)*('Tenure Split (WALES)'!C$110/40)))</f>
        <v>23969.068721604104</v>
      </c>
      <c r="E38" s="59">
        <f>D38*(1+'Tenure Split (WALES)'!D$109)+(D$44*(-(50-$B38)*('Tenure Split (WALES)'!D$110/40)))</f>
        <v>24545.227577943431</v>
      </c>
      <c r="F38" s="59">
        <f>E38*(1+'Tenure Split (WALES)'!E$109)+(E$44*(-(50-$B38)*('Tenure Split (WALES)'!E$110/40)))</f>
        <v>25309.239038064727</v>
      </c>
      <c r="G38" s="59">
        <f>F38*(1+'Tenure Split (WALES)'!F$109)+(F$44*(-(50-$B38)*('Tenure Split (WALES)'!F$110/40)))</f>
        <v>26205.358111632424</v>
      </c>
      <c r="H38" s="60">
        <f>G38*(1+'Tenure Split (WALES)'!G$109)+(G$44*(-(50-$B38)*('Tenure Split (WALES)'!G$110/40)))</f>
        <v>27158.720676940979</v>
      </c>
      <c r="L38" s="64" t="str">
        <f t="shared" si="4"/>
        <v/>
      </c>
      <c r="M38" s="251"/>
      <c r="N38" s="14">
        <f t="shared" si="3"/>
        <v>1</v>
      </c>
      <c r="T38" s="1">
        <f t="shared" si="5"/>
        <v>44</v>
      </c>
      <c r="U38" s="4" t="str">
        <f t="shared" si="6"/>
        <v/>
      </c>
      <c r="V38" s="4" t="e">
        <f>IF($V$3=$M$3,M38,U38*(1+'Tenure Split (WALES)'!C$109)+(U$44*(-(50-$T38)*('Tenure Split (WALES)'!C$110/40))))</f>
        <v>#VALUE!</v>
      </c>
      <c r="W38" s="4" t="e">
        <f>V38*(1+'Tenure Split (WALES)'!D$109)+(V$44*(-(50-$T38)*('Tenure Split (WALES)'!D$110/40)))</f>
        <v>#VALUE!</v>
      </c>
      <c r="X38" s="4" t="e">
        <f>W38*(1+'Tenure Split (WALES)'!E$109)+(W$44*(-(50-$T38)*('Tenure Split (WALES)'!E$110/40)))</f>
        <v>#VALUE!</v>
      </c>
      <c r="Y38" s="4" t="e">
        <f>X38*(1+'Tenure Split (WALES)'!F$109)+(X$44*(-(50-$T38)*('Tenure Split (WALES)'!F$110/40)))</f>
        <v>#VALUE!</v>
      </c>
      <c r="Z38" s="4" t="e">
        <f>Y38*(1+'Tenure Split (WALES)'!G$109)+(Y$44*(-(50-$T38)*('Tenure Split (WALES)'!G$110/40)))</f>
        <v>#VALUE!</v>
      </c>
      <c r="AB38">
        <v>44</v>
      </c>
      <c r="AC38" s="4">
        <f>IF('Tenure Split (WALES)'!$D$8="WG Estimates",'Income (Wales)'!D38,'Income (Wales)'!V38)</f>
        <v>23969.068721604104</v>
      </c>
      <c r="AD38" s="4">
        <f>IF('Tenure Split (WALES)'!$D$8="WG Estimates",'Income (Wales)'!E38,'Income (Wales)'!W38)</f>
        <v>24545.227577943431</v>
      </c>
      <c r="AE38" s="4">
        <f>IF('Tenure Split (WALES)'!$D$8="WG Estimates",'Income (Wales)'!F38,'Income (Wales)'!X38)</f>
        <v>25309.239038064727</v>
      </c>
      <c r="AF38" s="4">
        <f>IF('Tenure Split (WALES)'!$D$8="WG Estimates",'Income (Wales)'!G38,'Income (Wales)'!Y38)</f>
        <v>26205.358111632424</v>
      </c>
      <c r="AG38" s="4">
        <f>IF('Tenure Split (WALES)'!$D$8="WG Estimates",'Income (Wales)'!H38,'Income (Wales)'!Z38)</f>
        <v>27158.720676940979</v>
      </c>
    </row>
    <row r="39" spans="2:33" x14ac:dyDescent="0.25">
      <c r="B39" s="20">
        <v>45</v>
      </c>
      <c r="C39" s="58">
        <v>23785</v>
      </c>
      <c r="D39" s="59">
        <f>C39*(1+'Tenure Split (WALES)'!C$109)+(C$44*(-(50-$B39)*('Tenure Split (WALES)'!C$110/40)))</f>
        <v>24594.164008291529</v>
      </c>
      <c r="E39" s="59">
        <f>D39*(1+'Tenure Split (WALES)'!D$109)+(D$44*(-(50-$B39)*('Tenure Split (WALES)'!D$110/40)))</f>
        <v>25193.080566302819</v>
      </c>
      <c r="F39" s="59">
        <f>E39*(1+'Tenure Split (WALES)'!E$109)+(E$44*(-(50-$B39)*('Tenure Split (WALES)'!E$110/40)))</f>
        <v>25985.201209422245</v>
      </c>
      <c r="G39" s="59">
        <f>F39*(1+'Tenure Split (WALES)'!F$109)+(F$44*(-(50-$B39)*('Tenure Split (WALES)'!F$110/40)))</f>
        <v>26913.47152205318</v>
      </c>
      <c r="H39" s="60">
        <f>G39*(1+'Tenure Split (WALES)'!G$109)+(G$44*(-(50-$B39)*('Tenure Split (WALES)'!G$110/40)))</f>
        <v>27901.131728052587</v>
      </c>
      <c r="L39" s="64" t="str">
        <f t="shared" si="4"/>
        <v/>
      </c>
      <c r="M39" s="251"/>
      <c r="N39" s="14">
        <f t="shared" si="3"/>
        <v>1</v>
      </c>
      <c r="T39" s="1">
        <f t="shared" si="5"/>
        <v>45</v>
      </c>
      <c r="U39" s="4" t="str">
        <f t="shared" si="6"/>
        <v/>
      </c>
      <c r="V39" s="4" t="e">
        <f>IF($V$3=$M$3,M39,U39*(1+'Tenure Split (WALES)'!C$109)+(U$44*(-(50-$T39)*('Tenure Split (WALES)'!C$110/40))))</f>
        <v>#VALUE!</v>
      </c>
      <c r="W39" s="4" t="e">
        <f>V39*(1+'Tenure Split (WALES)'!D$109)+(V$44*(-(50-$T39)*('Tenure Split (WALES)'!D$110/40)))</f>
        <v>#VALUE!</v>
      </c>
      <c r="X39" s="4" t="e">
        <f>W39*(1+'Tenure Split (WALES)'!E$109)+(W$44*(-(50-$T39)*('Tenure Split (WALES)'!E$110/40)))</f>
        <v>#VALUE!</v>
      </c>
      <c r="Y39" s="4" t="e">
        <f>X39*(1+'Tenure Split (WALES)'!F$109)+(X$44*(-(50-$T39)*('Tenure Split (WALES)'!F$110/40)))</f>
        <v>#VALUE!</v>
      </c>
      <c r="Z39" s="4" t="e">
        <f>Y39*(1+'Tenure Split (WALES)'!G$109)+(Y$44*(-(50-$T39)*('Tenure Split (WALES)'!G$110/40)))</f>
        <v>#VALUE!</v>
      </c>
      <c r="AB39">
        <v>45</v>
      </c>
      <c r="AC39" s="4">
        <f>IF('Tenure Split (WALES)'!$D$8="WG Estimates",'Income (Wales)'!D39,'Income (Wales)'!V39)</f>
        <v>24594.164008291529</v>
      </c>
      <c r="AD39" s="4">
        <f>IF('Tenure Split (WALES)'!$D$8="WG Estimates",'Income (Wales)'!E39,'Income (Wales)'!W39)</f>
        <v>25193.080566302819</v>
      </c>
      <c r="AE39" s="4">
        <f>IF('Tenure Split (WALES)'!$D$8="WG Estimates",'Income (Wales)'!F39,'Income (Wales)'!X39)</f>
        <v>25985.201209422245</v>
      </c>
      <c r="AF39" s="4">
        <f>IF('Tenure Split (WALES)'!$D$8="WG Estimates",'Income (Wales)'!G39,'Income (Wales)'!Y39)</f>
        <v>26913.47152205318</v>
      </c>
      <c r="AG39" s="4">
        <f>IF('Tenure Split (WALES)'!$D$8="WG Estimates",'Income (Wales)'!H39,'Income (Wales)'!Z39)</f>
        <v>27901.131728052587</v>
      </c>
    </row>
    <row r="40" spans="2:33" x14ac:dyDescent="0.25">
      <c r="B40" s="20">
        <v>46</v>
      </c>
      <c r="C40" s="58">
        <v>24290.5</v>
      </c>
      <c r="D40" s="59">
        <f>C40*(1+'Tenure Split (WALES)'!C$109)+(C$44*(-(50-$B40)*('Tenure Split (WALES)'!C$110/40)))</f>
        <v>25124.004577614534</v>
      </c>
      <c r="E40" s="59">
        <f>D40*(1+'Tenure Split (WALES)'!D$109)+(D$44*(-(50-$B40)*('Tenure Split (WALES)'!D$110/40)))</f>
        <v>25743.229724734294</v>
      </c>
      <c r="F40" s="59">
        <f>E40*(1+'Tenure Split (WALES)'!E$109)+(E$44*(-(50-$B40)*('Tenure Split (WALES)'!E$110/40)))</f>
        <v>26560.254570990197</v>
      </c>
      <c r="G40" s="59">
        <f>F40*(1+'Tenure Split (WALES)'!F$109)+(F$44*(-(50-$B40)*('Tenure Split (WALES)'!F$110/40)))</f>
        <v>27516.933833442388</v>
      </c>
      <c r="H40" s="60">
        <f>G40*(1+'Tenure Split (WALES)'!G$109)+(G$44*(-(50-$B40)*('Tenure Split (WALES)'!G$110/40)))</f>
        <v>28534.908426657264</v>
      </c>
      <c r="L40" s="64" t="str">
        <f t="shared" si="4"/>
        <v/>
      </c>
      <c r="M40" s="251"/>
      <c r="N40" s="14">
        <f t="shared" si="3"/>
        <v>1</v>
      </c>
      <c r="T40" s="1">
        <f t="shared" si="5"/>
        <v>46</v>
      </c>
      <c r="U40" s="4" t="str">
        <f t="shared" si="6"/>
        <v/>
      </c>
      <c r="V40" s="4" t="e">
        <f>IF($V$3=$M$3,M40,U40*(1+'Tenure Split (WALES)'!C$109)+(U$44*(-(50-$T40)*('Tenure Split (WALES)'!C$110/40))))</f>
        <v>#VALUE!</v>
      </c>
      <c r="W40" s="4" t="e">
        <f>V40*(1+'Tenure Split (WALES)'!D$109)+(V$44*(-(50-$T40)*('Tenure Split (WALES)'!D$110/40)))</f>
        <v>#VALUE!</v>
      </c>
      <c r="X40" s="4" t="e">
        <f>W40*(1+'Tenure Split (WALES)'!E$109)+(W$44*(-(50-$T40)*('Tenure Split (WALES)'!E$110/40)))</f>
        <v>#VALUE!</v>
      </c>
      <c r="Y40" s="4" t="e">
        <f>X40*(1+'Tenure Split (WALES)'!F$109)+(X$44*(-(50-$T40)*('Tenure Split (WALES)'!F$110/40)))</f>
        <v>#VALUE!</v>
      </c>
      <c r="Z40" s="4" t="e">
        <f>Y40*(1+'Tenure Split (WALES)'!G$109)+(Y$44*(-(50-$T40)*('Tenure Split (WALES)'!G$110/40)))</f>
        <v>#VALUE!</v>
      </c>
      <c r="AB40">
        <v>46</v>
      </c>
      <c r="AC40" s="4">
        <f>IF('Tenure Split (WALES)'!$D$8="WG Estimates",'Income (Wales)'!D40,'Income (Wales)'!V40)</f>
        <v>25124.004577614534</v>
      </c>
      <c r="AD40" s="4">
        <f>IF('Tenure Split (WALES)'!$D$8="WG Estimates",'Income (Wales)'!E40,'Income (Wales)'!W40)</f>
        <v>25743.229724734294</v>
      </c>
      <c r="AE40" s="4">
        <f>IF('Tenure Split (WALES)'!$D$8="WG Estimates",'Income (Wales)'!F40,'Income (Wales)'!X40)</f>
        <v>26560.254570990197</v>
      </c>
      <c r="AF40" s="4">
        <f>IF('Tenure Split (WALES)'!$D$8="WG Estimates",'Income (Wales)'!G40,'Income (Wales)'!Y40)</f>
        <v>27516.933833442388</v>
      </c>
      <c r="AG40" s="4">
        <f>IF('Tenure Split (WALES)'!$D$8="WG Estimates",'Income (Wales)'!H40,'Income (Wales)'!Z40)</f>
        <v>28534.908426657264</v>
      </c>
    </row>
    <row r="41" spans="2:33" x14ac:dyDescent="0.25">
      <c r="B41" s="20">
        <v>47</v>
      </c>
      <c r="C41" s="58">
        <v>24789.25</v>
      </c>
      <c r="D41" s="59">
        <f>C41*(1+'Tenure Split (WALES)'!C$109)+(C$44*(-(50-$B41)*('Tenure Split (WALES)'!C$110/40)))</f>
        <v>25646.856349739603</v>
      </c>
      <c r="E41" s="59">
        <f>D41*(1+'Tenure Split (WALES)'!D$109)+(D$44*(-(50-$B41)*('Tenure Split (WALES)'!D$110/40)))</f>
        <v>26286.21039564388</v>
      </c>
      <c r="F41" s="59">
        <f>E41*(1+'Tenure Split (WALES)'!E$109)+(E$44*(-(50-$B41)*('Tenure Split (WALES)'!E$110/40)))</f>
        <v>27127.904297057281</v>
      </c>
      <c r="G41" s="59">
        <f>F41*(1+'Tenure Split (WALES)'!F$109)+(F$44*(-(50-$B41)*('Tenure Split (WALES)'!F$110/40)))</f>
        <v>28112.717939196122</v>
      </c>
      <c r="H41" s="60">
        <f>G41*(1+'Tenure Split (WALES)'!G$109)+(G$44*(-(50-$B41)*('Tenure Split (WALES)'!G$110/40)))</f>
        <v>29160.714670050827</v>
      </c>
      <c r="L41" s="64" t="str">
        <f t="shared" si="4"/>
        <v/>
      </c>
      <c r="M41" s="251"/>
      <c r="N41" s="14">
        <f t="shared" si="3"/>
        <v>1</v>
      </c>
      <c r="T41" s="1">
        <f t="shared" si="5"/>
        <v>47</v>
      </c>
      <c r="U41" s="4" t="str">
        <f t="shared" si="6"/>
        <v/>
      </c>
      <c r="V41" s="4" t="e">
        <f>IF($V$3=$M$3,M41,U41*(1+'Tenure Split (WALES)'!C$109)+(U$44*(-(50-$T41)*('Tenure Split (WALES)'!C$110/40))))</f>
        <v>#VALUE!</v>
      </c>
      <c r="W41" s="4" t="e">
        <f>V41*(1+'Tenure Split (WALES)'!D$109)+(V$44*(-(50-$T41)*('Tenure Split (WALES)'!D$110/40)))</f>
        <v>#VALUE!</v>
      </c>
      <c r="X41" s="4" t="e">
        <f>W41*(1+'Tenure Split (WALES)'!E$109)+(W$44*(-(50-$T41)*('Tenure Split (WALES)'!E$110/40)))</f>
        <v>#VALUE!</v>
      </c>
      <c r="Y41" s="4" t="e">
        <f>X41*(1+'Tenure Split (WALES)'!F$109)+(X$44*(-(50-$T41)*('Tenure Split (WALES)'!F$110/40)))</f>
        <v>#VALUE!</v>
      </c>
      <c r="Z41" s="4" t="e">
        <f>Y41*(1+'Tenure Split (WALES)'!G$109)+(Y$44*(-(50-$T41)*('Tenure Split (WALES)'!G$110/40)))</f>
        <v>#VALUE!</v>
      </c>
      <c r="AB41">
        <v>47</v>
      </c>
      <c r="AC41" s="4">
        <f>IF('Tenure Split (WALES)'!$D$8="WG Estimates",'Income (Wales)'!D41,'Income (Wales)'!V41)</f>
        <v>25646.856349739603</v>
      </c>
      <c r="AD41" s="4">
        <f>IF('Tenure Split (WALES)'!$D$8="WG Estimates",'Income (Wales)'!E41,'Income (Wales)'!W41)</f>
        <v>26286.21039564388</v>
      </c>
      <c r="AE41" s="4">
        <f>IF('Tenure Split (WALES)'!$D$8="WG Estimates",'Income (Wales)'!F41,'Income (Wales)'!X41)</f>
        <v>27127.904297057281</v>
      </c>
      <c r="AF41" s="4">
        <f>IF('Tenure Split (WALES)'!$D$8="WG Estimates",'Income (Wales)'!G41,'Income (Wales)'!Y41)</f>
        <v>28112.717939196122</v>
      </c>
      <c r="AG41" s="4">
        <f>IF('Tenure Split (WALES)'!$D$8="WG Estimates",'Income (Wales)'!H41,'Income (Wales)'!Z41)</f>
        <v>29160.714670050827</v>
      </c>
    </row>
    <row r="42" spans="2:33" x14ac:dyDescent="0.25">
      <c r="B42" s="20">
        <v>48</v>
      </c>
      <c r="C42" s="58">
        <v>24958</v>
      </c>
      <c r="D42" s="59">
        <f>C42*(1+'Tenure Split (WALES)'!C$109)+(C$44*(-(50-$B42)*('Tenure Split (WALES)'!C$110/40)))</f>
        <v>25828.033592187934</v>
      </c>
      <c r="E42" s="59">
        <f>D42*(1+'Tenure Split (WALES)'!D$109)+(D$44*(-(50-$B42)*('Tenure Split (WALES)'!D$110/40)))</f>
        <v>26478.731676594631</v>
      </c>
      <c r="F42" s="59">
        <f>E42*(1+'Tenure Split (WALES)'!E$109)+(E$44*(-(50-$B42)*('Tenure Split (WALES)'!E$110/40)))</f>
        <v>27333.598509748725</v>
      </c>
      <c r="G42" s="59">
        <f>F42*(1+'Tenure Split (WALES)'!F$109)+(F$44*(-(50-$B42)*('Tenure Split (WALES)'!F$110/40)))</f>
        <v>28333.123102771435</v>
      </c>
      <c r="H42" s="60">
        <f>G42*(1+'Tenure Split (WALES)'!G$109)+(G$44*(-(50-$B42)*('Tenure Split (WALES)'!G$110/40)))</f>
        <v>29396.854214234696</v>
      </c>
      <c r="L42" s="64" t="str">
        <f t="shared" si="4"/>
        <v/>
      </c>
      <c r="M42" s="251"/>
      <c r="N42" s="14">
        <f t="shared" si="3"/>
        <v>1</v>
      </c>
      <c r="T42" s="1">
        <f t="shared" si="5"/>
        <v>48</v>
      </c>
      <c r="U42" s="4" t="str">
        <f t="shared" si="6"/>
        <v/>
      </c>
      <c r="V42" s="4" t="e">
        <f>IF($V$3=$M$3,M42,U42*(1+'Tenure Split (WALES)'!C$109)+(U$44*(-(50-$T42)*('Tenure Split (WALES)'!C$110/40))))</f>
        <v>#VALUE!</v>
      </c>
      <c r="W42" s="4" t="e">
        <f>V42*(1+'Tenure Split (WALES)'!D$109)+(V$44*(-(50-$T42)*('Tenure Split (WALES)'!D$110/40)))</f>
        <v>#VALUE!</v>
      </c>
      <c r="X42" s="4" t="e">
        <f>W42*(1+'Tenure Split (WALES)'!E$109)+(W$44*(-(50-$T42)*('Tenure Split (WALES)'!E$110/40)))</f>
        <v>#VALUE!</v>
      </c>
      <c r="Y42" s="4" t="e">
        <f>X42*(1+'Tenure Split (WALES)'!F$109)+(X$44*(-(50-$T42)*('Tenure Split (WALES)'!F$110/40)))</f>
        <v>#VALUE!</v>
      </c>
      <c r="Z42" s="4" t="e">
        <f>Y42*(1+'Tenure Split (WALES)'!G$109)+(Y$44*(-(50-$T42)*('Tenure Split (WALES)'!G$110/40)))</f>
        <v>#VALUE!</v>
      </c>
      <c r="AB42">
        <v>48</v>
      </c>
      <c r="AC42" s="4">
        <f>IF('Tenure Split (WALES)'!$D$8="WG Estimates",'Income (Wales)'!D42,'Income (Wales)'!V42)</f>
        <v>25828.033592187934</v>
      </c>
      <c r="AD42" s="4">
        <f>IF('Tenure Split (WALES)'!$D$8="WG Estimates",'Income (Wales)'!E42,'Income (Wales)'!W42)</f>
        <v>26478.731676594631</v>
      </c>
      <c r="AE42" s="4">
        <f>IF('Tenure Split (WALES)'!$D$8="WG Estimates",'Income (Wales)'!F42,'Income (Wales)'!X42)</f>
        <v>27333.598509748725</v>
      </c>
      <c r="AF42" s="4">
        <f>IF('Tenure Split (WALES)'!$D$8="WG Estimates",'Income (Wales)'!G42,'Income (Wales)'!Y42)</f>
        <v>28333.123102771435</v>
      </c>
      <c r="AG42" s="4">
        <f>IF('Tenure Split (WALES)'!$D$8="WG Estimates",'Income (Wales)'!H42,'Income (Wales)'!Z42)</f>
        <v>29396.854214234696</v>
      </c>
    </row>
    <row r="43" spans="2:33" x14ac:dyDescent="0.25">
      <c r="B43" s="20">
        <v>49</v>
      </c>
      <c r="C43" s="58">
        <v>25404</v>
      </c>
      <c r="D43" s="59">
        <f>C43*(1+'Tenure Split (WALES)'!C$109)+(C$44*(-(50-$B43)*('Tenure Split (WALES)'!C$110/40)))</f>
        <v>26296.269208432863</v>
      </c>
      <c r="E43" s="59">
        <f>D43*(1+'Tenure Split (WALES)'!D$109)+(D$44*(-(50-$B43)*('Tenure Split (WALES)'!D$110/40)))</f>
        <v>26965.691945018381</v>
      </c>
      <c r="F43" s="59">
        <f>E43*(1+'Tenure Split (WALES)'!E$109)+(E$44*(-(50-$B43)*('Tenure Split (WALES)'!E$110/40)))</f>
        <v>27843.390195420168</v>
      </c>
      <c r="G43" s="59">
        <f>F43*(1+'Tenure Split (WALES)'!F$109)+(F$44*(-(50-$B43)*('Tenure Split (WALES)'!F$110/40)))</f>
        <v>28868.903453373929</v>
      </c>
      <c r="H43" s="60">
        <f>G43*(1+'Tenure Split (WALES)'!G$109)+(G$44*(-(50-$B43)*('Tenure Split (WALES)'!G$110/40)))</f>
        <v>29960.372826163686</v>
      </c>
      <c r="L43" s="64" t="str">
        <f t="shared" si="4"/>
        <v/>
      </c>
      <c r="M43" s="251"/>
      <c r="N43" s="14">
        <f t="shared" si="3"/>
        <v>1</v>
      </c>
      <c r="T43" s="1">
        <f t="shared" si="5"/>
        <v>49</v>
      </c>
      <c r="U43" s="4" t="str">
        <f t="shared" si="6"/>
        <v/>
      </c>
      <c r="V43" s="4" t="e">
        <f>IF($V$3=$M$3,M43,U43*(1+'Tenure Split (WALES)'!C$109)+(U$44*(-(50-$T43)*('Tenure Split (WALES)'!C$110/40))))</f>
        <v>#VALUE!</v>
      </c>
      <c r="W43" s="4" t="e">
        <f>V43*(1+'Tenure Split (WALES)'!D$109)+(V$44*(-(50-$T43)*('Tenure Split (WALES)'!D$110/40)))</f>
        <v>#VALUE!</v>
      </c>
      <c r="X43" s="4" t="e">
        <f>W43*(1+'Tenure Split (WALES)'!E$109)+(W$44*(-(50-$T43)*('Tenure Split (WALES)'!E$110/40)))</f>
        <v>#VALUE!</v>
      </c>
      <c r="Y43" s="4" t="e">
        <f>X43*(1+'Tenure Split (WALES)'!F$109)+(X$44*(-(50-$T43)*('Tenure Split (WALES)'!F$110/40)))</f>
        <v>#VALUE!</v>
      </c>
      <c r="Z43" s="4" t="e">
        <f>Y43*(1+'Tenure Split (WALES)'!G$109)+(Y$44*(-(50-$T43)*('Tenure Split (WALES)'!G$110/40)))</f>
        <v>#VALUE!</v>
      </c>
      <c r="AB43">
        <v>49</v>
      </c>
      <c r="AC43" s="4">
        <f>IF('Tenure Split (WALES)'!$D$8="WG Estimates",'Income (Wales)'!D43,'Income (Wales)'!V43)</f>
        <v>26296.269208432863</v>
      </c>
      <c r="AD43" s="4">
        <f>IF('Tenure Split (WALES)'!$D$8="WG Estimates",'Income (Wales)'!E43,'Income (Wales)'!W43)</f>
        <v>26965.691945018381</v>
      </c>
      <c r="AE43" s="4">
        <f>IF('Tenure Split (WALES)'!$D$8="WG Estimates",'Income (Wales)'!F43,'Income (Wales)'!X43)</f>
        <v>27843.390195420168</v>
      </c>
      <c r="AF43" s="4">
        <f>IF('Tenure Split (WALES)'!$D$8="WG Estimates",'Income (Wales)'!G43,'Income (Wales)'!Y43)</f>
        <v>28868.903453373929</v>
      </c>
      <c r="AG43" s="4">
        <f>IF('Tenure Split (WALES)'!$D$8="WG Estimates",'Income (Wales)'!H43,'Income (Wales)'!Z43)</f>
        <v>29960.372826163686</v>
      </c>
    </row>
    <row r="44" spans="2:33" x14ac:dyDescent="0.25">
      <c r="B44" s="20">
        <v>50</v>
      </c>
      <c r="C44" s="58">
        <v>25829.25</v>
      </c>
      <c r="D44" s="59">
        <f>C44*(1+'Tenure Split (WALES)'!C$109)+(C$44*(-(50-$B44)*('Tenure Split (WALES)'!C$110/40)))</f>
        <v>26743.020744402656</v>
      </c>
      <c r="E44" s="59">
        <f>D44*(1+'Tenure Split (WALES)'!D$109)+(D$44*(-(50-$B44)*('Tenure Split (WALES)'!D$110/40)))</f>
        <v>27430.615751800768</v>
      </c>
      <c r="F44" s="59">
        <f>E44*(1+'Tenure Split (WALES)'!E$109)+(E$44*(-(50-$B44)*('Tenure Split (WALES)'!E$110/40)))</f>
        <v>28330.422557144488</v>
      </c>
      <c r="G44" s="59">
        <f>F44*(1+'Tenure Split (WALES)'!F$109)+(F$44*(-(50-$B44)*('Tenure Split (WALES)'!F$110/40)))</f>
        <v>29381.080431097009</v>
      </c>
      <c r="H44" s="60">
        <f>G44*(1+'Tenure Split (WALES)'!G$109)+(G$44*(-(50-$B44)*('Tenure Split (WALES)'!G$110/40)))</f>
        <v>30499.389668369629</v>
      </c>
      <c r="L44" s="64" t="str">
        <f t="shared" si="4"/>
        <v/>
      </c>
      <c r="M44" s="251"/>
      <c r="N44" s="14">
        <f t="shared" si="3"/>
        <v>1</v>
      </c>
      <c r="T44" s="1">
        <f t="shared" si="5"/>
        <v>50</v>
      </c>
      <c r="U44" s="4" t="str">
        <f t="shared" si="6"/>
        <v/>
      </c>
      <c r="V44" s="4" t="e">
        <f>IF($V$3=$M$3,M44,U44*(1+'Tenure Split (WALES)'!C$109)+(U$44*(-(50-$T44)*('Tenure Split (WALES)'!C$110/40))))</f>
        <v>#VALUE!</v>
      </c>
      <c r="W44" s="4" t="e">
        <f>V44*(1+'Tenure Split (WALES)'!D$109)+(V$44*(-(50-$T44)*('Tenure Split (WALES)'!D$110/40)))</f>
        <v>#VALUE!</v>
      </c>
      <c r="X44" s="4" t="e">
        <f>W44*(1+'Tenure Split (WALES)'!E$109)+(W$44*(-(50-$T44)*('Tenure Split (WALES)'!E$110/40)))</f>
        <v>#VALUE!</v>
      </c>
      <c r="Y44" s="4" t="e">
        <f>X44*(1+'Tenure Split (WALES)'!F$109)+(X$44*(-(50-$T44)*('Tenure Split (WALES)'!F$110/40)))</f>
        <v>#VALUE!</v>
      </c>
      <c r="Z44" s="4" t="e">
        <f>Y44*(1+'Tenure Split (WALES)'!G$109)+(Y$44*(-(50-$T44)*('Tenure Split (WALES)'!G$110/40)))</f>
        <v>#VALUE!</v>
      </c>
      <c r="AB44">
        <v>50</v>
      </c>
      <c r="AC44" s="4">
        <f>IF('Tenure Split (WALES)'!$D$8="WG Estimates",'Income (Wales)'!D44,'Income (Wales)'!V44)</f>
        <v>26743.020744402656</v>
      </c>
      <c r="AD44" s="4">
        <f>IF('Tenure Split (WALES)'!$D$8="WG Estimates",'Income (Wales)'!E44,'Income (Wales)'!W44)</f>
        <v>27430.615751800768</v>
      </c>
      <c r="AE44" s="4">
        <f>IF('Tenure Split (WALES)'!$D$8="WG Estimates",'Income (Wales)'!F44,'Income (Wales)'!X44)</f>
        <v>28330.422557144488</v>
      </c>
      <c r="AF44" s="4">
        <f>IF('Tenure Split (WALES)'!$D$8="WG Estimates",'Income (Wales)'!G44,'Income (Wales)'!Y44)</f>
        <v>29381.080431097009</v>
      </c>
      <c r="AG44" s="4">
        <f>IF('Tenure Split (WALES)'!$D$8="WG Estimates",'Income (Wales)'!H44,'Income (Wales)'!Z44)</f>
        <v>30499.389668369629</v>
      </c>
    </row>
    <row r="45" spans="2:33" x14ac:dyDescent="0.25">
      <c r="B45" s="20">
        <v>51</v>
      </c>
      <c r="C45" s="58">
        <v>26227</v>
      </c>
      <c r="D45" s="59">
        <f>C45*(1+'Tenure Split (WALES)'!C$109)+(C$44*(-(50-$B45)*('Tenure Split (WALES)'!C$110/40)))</f>
        <v>27161.299402899389</v>
      </c>
      <c r="E45" s="59">
        <f>D45*(1+'Tenure Split (WALES)'!D$109)+(D$44*(-(50-$B45)*('Tenure Split (WALES)'!D$110/40)))</f>
        <v>27866.334609419922</v>
      </c>
      <c r="F45" s="59">
        <f>E45*(1+'Tenure Split (WALES)'!E$109)+(E$44*(-(50-$B45)*('Tenure Split (WALES)'!E$110/40)))</f>
        <v>28787.291959420847</v>
      </c>
      <c r="G45" s="59">
        <f>F45*(1+'Tenure Split (WALES)'!F$109)+(F$44*(-(50-$B45)*('Tenure Split (WALES)'!F$110/40)))</f>
        <v>29861.975830305226</v>
      </c>
      <c r="H45" s="60">
        <f>G45*(1+'Tenure Split (WALES)'!G$109)+(G$44*(-(50-$B45)*('Tenure Split (WALES)'!G$110/40)))</f>
        <v>31005.934285641437</v>
      </c>
      <c r="L45" s="64" t="str">
        <f t="shared" si="4"/>
        <v/>
      </c>
      <c r="M45" s="251"/>
      <c r="N45" s="14">
        <f t="shared" si="3"/>
        <v>1</v>
      </c>
      <c r="T45" s="1">
        <f t="shared" si="5"/>
        <v>51</v>
      </c>
      <c r="U45" s="4" t="str">
        <f t="shared" si="6"/>
        <v/>
      </c>
      <c r="V45" s="4" t="e">
        <f>IF($V$3=$M$3,M45,U45*(1+'Tenure Split (WALES)'!C$109)+(U$44*(-(50-$T45)*('Tenure Split (WALES)'!C$110/40))))</f>
        <v>#VALUE!</v>
      </c>
      <c r="W45" s="4" t="e">
        <f>V45*(1+'Tenure Split (WALES)'!D$109)+(V$44*(-(50-$T45)*('Tenure Split (WALES)'!D$110/40)))</f>
        <v>#VALUE!</v>
      </c>
      <c r="X45" s="4" t="e">
        <f>W45*(1+'Tenure Split (WALES)'!E$109)+(W$44*(-(50-$T45)*('Tenure Split (WALES)'!E$110/40)))</f>
        <v>#VALUE!</v>
      </c>
      <c r="Y45" s="4" t="e">
        <f>X45*(1+'Tenure Split (WALES)'!F$109)+(X$44*(-(50-$T45)*('Tenure Split (WALES)'!F$110/40)))</f>
        <v>#VALUE!</v>
      </c>
      <c r="Z45" s="4" t="e">
        <f>Y45*(1+'Tenure Split (WALES)'!G$109)+(Y$44*(-(50-$T45)*('Tenure Split (WALES)'!G$110/40)))</f>
        <v>#VALUE!</v>
      </c>
      <c r="AB45">
        <v>51</v>
      </c>
      <c r="AC45" s="4">
        <f>IF('Tenure Split (WALES)'!$D$8="WG Estimates",'Income (Wales)'!D45,'Income (Wales)'!V45)</f>
        <v>27161.299402899389</v>
      </c>
      <c r="AD45" s="4">
        <f>IF('Tenure Split (WALES)'!$D$8="WG Estimates",'Income (Wales)'!E45,'Income (Wales)'!W45)</f>
        <v>27866.334609419922</v>
      </c>
      <c r="AE45" s="4">
        <f>IF('Tenure Split (WALES)'!$D$8="WG Estimates",'Income (Wales)'!F45,'Income (Wales)'!X45)</f>
        <v>28787.291959420847</v>
      </c>
      <c r="AF45" s="4">
        <f>IF('Tenure Split (WALES)'!$D$8="WG Estimates",'Income (Wales)'!G45,'Income (Wales)'!Y45)</f>
        <v>29861.975830305226</v>
      </c>
      <c r="AG45" s="4">
        <f>IF('Tenure Split (WALES)'!$D$8="WG Estimates",'Income (Wales)'!H45,'Income (Wales)'!Z45)</f>
        <v>31005.934285641437</v>
      </c>
    </row>
    <row r="46" spans="2:33" x14ac:dyDescent="0.25">
      <c r="B46" s="20">
        <v>52</v>
      </c>
      <c r="C46" s="58">
        <v>26730</v>
      </c>
      <c r="D46" s="59">
        <f>C46*(1+'Tenure Split (WALES)'!C$109)+(C$44*(-(50-$B46)*('Tenure Split (WALES)'!C$110/40)))</f>
        <v>27688.551528815751</v>
      </c>
      <c r="E46" s="59">
        <f>D46*(1+'Tenure Split (WALES)'!D$109)+(D$44*(-(50-$B46)*('Tenure Split (WALES)'!D$110/40)))</f>
        <v>28413.828772472923</v>
      </c>
      <c r="F46" s="59">
        <f>E46*(1+'Tenure Split (WALES)'!E$109)+(E$44*(-(50-$B46)*('Tenure Split (WALES)'!E$110/40)))</f>
        <v>29359.603233766258</v>
      </c>
      <c r="G46" s="59">
        <f>F46*(1+'Tenure Split (WALES)'!F$109)+(F$44*(-(50-$B46)*('Tenure Split (WALES)'!F$110/40)))</f>
        <v>30462.594361829444</v>
      </c>
      <c r="H46" s="60">
        <f>G46*(1+'Tenure Split (WALES)'!G$109)+(G$44*(-(50-$B46)*('Tenure Split (WALES)'!G$110/40)))</f>
        <v>31636.758963797554</v>
      </c>
      <c r="L46" s="64" t="str">
        <f t="shared" si="4"/>
        <v/>
      </c>
      <c r="M46" s="251"/>
      <c r="N46" s="14">
        <f t="shared" si="3"/>
        <v>1</v>
      </c>
      <c r="T46" s="1">
        <f t="shared" si="5"/>
        <v>52</v>
      </c>
      <c r="U46" s="4" t="str">
        <f t="shared" si="6"/>
        <v/>
      </c>
      <c r="V46" s="4" t="e">
        <f>IF($V$3=$M$3,M46,U46*(1+'Tenure Split (WALES)'!C$109)+(U$44*(-(50-$T46)*('Tenure Split (WALES)'!C$110/40))))</f>
        <v>#VALUE!</v>
      </c>
      <c r="W46" s="4" t="e">
        <f>V46*(1+'Tenure Split (WALES)'!D$109)+(V$44*(-(50-$T46)*('Tenure Split (WALES)'!D$110/40)))</f>
        <v>#VALUE!</v>
      </c>
      <c r="X46" s="4" t="e">
        <f>W46*(1+'Tenure Split (WALES)'!E$109)+(W$44*(-(50-$T46)*('Tenure Split (WALES)'!E$110/40)))</f>
        <v>#VALUE!</v>
      </c>
      <c r="Y46" s="4" t="e">
        <f>X46*(1+'Tenure Split (WALES)'!F$109)+(X$44*(-(50-$T46)*('Tenure Split (WALES)'!F$110/40)))</f>
        <v>#VALUE!</v>
      </c>
      <c r="Z46" s="4" t="e">
        <f>Y46*(1+'Tenure Split (WALES)'!G$109)+(Y$44*(-(50-$T46)*('Tenure Split (WALES)'!G$110/40)))</f>
        <v>#VALUE!</v>
      </c>
      <c r="AB46">
        <v>52</v>
      </c>
      <c r="AC46" s="4">
        <f>IF('Tenure Split (WALES)'!$D$8="WG Estimates",'Income (Wales)'!D46,'Income (Wales)'!V46)</f>
        <v>27688.551528815751</v>
      </c>
      <c r="AD46" s="4">
        <f>IF('Tenure Split (WALES)'!$D$8="WG Estimates",'Income (Wales)'!E46,'Income (Wales)'!W46)</f>
        <v>28413.828772472923</v>
      </c>
      <c r="AE46" s="4">
        <f>IF('Tenure Split (WALES)'!$D$8="WG Estimates",'Income (Wales)'!F46,'Income (Wales)'!X46)</f>
        <v>29359.603233766258</v>
      </c>
      <c r="AF46" s="4">
        <f>IF('Tenure Split (WALES)'!$D$8="WG Estimates",'Income (Wales)'!G46,'Income (Wales)'!Y46)</f>
        <v>30462.594361829444</v>
      </c>
      <c r="AG46" s="4">
        <f>IF('Tenure Split (WALES)'!$D$8="WG Estimates",'Income (Wales)'!H46,'Income (Wales)'!Z46)</f>
        <v>31636.758963797554</v>
      </c>
    </row>
    <row r="47" spans="2:33" x14ac:dyDescent="0.25">
      <c r="B47" s="20">
        <v>53</v>
      </c>
      <c r="C47" s="58">
        <v>27205</v>
      </c>
      <c r="D47" s="59">
        <f>C47*(1+'Tenure Split (WALES)'!C$109)+(C$44*(-(50-$B47)*('Tenure Split (WALES)'!C$110/40)))</f>
        <v>28186.813088577721</v>
      </c>
      <c r="E47" s="59">
        <f>D47*(1+'Tenure Split (WALES)'!D$109)+(D$44*(-(50-$B47)*('Tenure Split (WALES)'!D$110/40)))</f>
        <v>28931.586987286984</v>
      </c>
      <c r="F47" s="59">
        <f>E47*(1+'Tenure Split (WALES)'!E$109)+(E$44*(-(50-$B47)*('Tenure Split (WALES)'!E$110/40)))</f>
        <v>29901.203131219183</v>
      </c>
      <c r="G47" s="59">
        <f>F47*(1+'Tenure Split (WALES)'!F$109)+(F$44*(-(50-$B47)*('Tenure Split (WALES)'!F$110/40)))</f>
        <v>31031.362558865789</v>
      </c>
      <c r="H47" s="60">
        <f>G47*(1+'Tenure Split (WALES)'!G$109)+(G$44*(-(50-$B47)*('Tenure Split (WALES)'!G$110/40)))</f>
        <v>32234.52101292981</v>
      </c>
      <c r="L47" s="64" t="str">
        <f t="shared" si="4"/>
        <v/>
      </c>
      <c r="M47" s="251"/>
      <c r="N47" s="14">
        <f t="shared" si="3"/>
        <v>1</v>
      </c>
      <c r="T47" s="1">
        <f t="shared" si="5"/>
        <v>53</v>
      </c>
      <c r="U47" s="4" t="str">
        <f t="shared" si="6"/>
        <v/>
      </c>
      <c r="V47" s="4" t="e">
        <f>IF($V$3=$M$3,M47,U47*(1+'Tenure Split (WALES)'!C$109)+(U$44*(-(50-$T47)*('Tenure Split (WALES)'!C$110/40))))</f>
        <v>#VALUE!</v>
      </c>
      <c r="W47" s="4" t="e">
        <f>V47*(1+'Tenure Split (WALES)'!D$109)+(V$44*(-(50-$T47)*('Tenure Split (WALES)'!D$110/40)))</f>
        <v>#VALUE!</v>
      </c>
      <c r="X47" s="4" t="e">
        <f>W47*(1+'Tenure Split (WALES)'!E$109)+(W$44*(-(50-$T47)*('Tenure Split (WALES)'!E$110/40)))</f>
        <v>#VALUE!</v>
      </c>
      <c r="Y47" s="4" t="e">
        <f>X47*(1+'Tenure Split (WALES)'!F$109)+(X$44*(-(50-$T47)*('Tenure Split (WALES)'!F$110/40)))</f>
        <v>#VALUE!</v>
      </c>
      <c r="Z47" s="4" t="e">
        <f>Y47*(1+'Tenure Split (WALES)'!G$109)+(Y$44*(-(50-$T47)*('Tenure Split (WALES)'!G$110/40)))</f>
        <v>#VALUE!</v>
      </c>
      <c r="AB47">
        <v>53</v>
      </c>
      <c r="AC47" s="4">
        <f>IF('Tenure Split (WALES)'!$D$8="WG Estimates",'Income (Wales)'!D47,'Income (Wales)'!V47)</f>
        <v>28186.813088577721</v>
      </c>
      <c r="AD47" s="4">
        <f>IF('Tenure Split (WALES)'!$D$8="WG Estimates",'Income (Wales)'!E47,'Income (Wales)'!W47)</f>
        <v>28931.586987286984</v>
      </c>
      <c r="AE47" s="4">
        <f>IF('Tenure Split (WALES)'!$D$8="WG Estimates",'Income (Wales)'!F47,'Income (Wales)'!X47)</f>
        <v>29901.203131219183</v>
      </c>
      <c r="AF47" s="4">
        <f>IF('Tenure Split (WALES)'!$D$8="WG Estimates",'Income (Wales)'!G47,'Income (Wales)'!Y47)</f>
        <v>31031.362558865789</v>
      </c>
      <c r="AG47" s="4">
        <f>IF('Tenure Split (WALES)'!$D$8="WG Estimates",'Income (Wales)'!H47,'Income (Wales)'!Z47)</f>
        <v>32234.52101292981</v>
      </c>
    </row>
    <row r="48" spans="2:33" x14ac:dyDescent="0.25">
      <c r="B48" s="20">
        <v>54</v>
      </c>
      <c r="C48" s="58">
        <v>27952.2</v>
      </c>
      <c r="D48" s="59">
        <f>C48*(1+'Tenure Split (WALES)'!C$109)+(C$44*(-(50-$B48)*('Tenure Split (WALES)'!C$110/40)))</f>
        <v>28966.90436645487</v>
      </c>
      <c r="E48" s="59">
        <f>D48*(1+'Tenure Split (WALES)'!D$109)+(D$44*(-(50-$B48)*('Tenure Split (WALES)'!D$110/40)))</f>
        <v>29738.421098909519</v>
      </c>
      <c r="F48" s="59">
        <f>E48*(1+'Tenure Split (WALES)'!E$109)+(E$44*(-(50-$B48)*('Tenure Split (WALES)'!E$110/40)))</f>
        <v>30741.361485462563</v>
      </c>
      <c r="G48" s="59">
        <f>F48*(1+'Tenure Split (WALES)'!F$109)+(F$44*(-(50-$B48)*('Tenure Split (WALES)'!F$110/40)))</f>
        <v>31909.761507602041</v>
      </c>
      <c r="H48" s="60">
        <f>G48*(1+'Tenure Split (WALES)'!G$109)+(G$44*(-(50-$B48)*('Tenure Split (WALES)'!G$110/40)))</f>
        <v>33153.699048501105</v>
      </c>
      <c r="L48" s="64" t="str">
        <f t="shared" si="4"/>
        <v/>
      </c>
      <c r="M48" s="251"/>
      <c r="N48" s="14">
        <f t="shared" si="3"/>
        <v>1</v>
      </c>
      <c r="T48" s="1">
        <f t="shared" si="5"/>
        <v>54</v>
      </c>
      <c r="U48" s="4" t="str">
        <f t="shared" si="6"/>
        <v/>
      </c>
      <c r="V48" s="4" t="e">
        <f>IF($V$3=$M$3,M48,U48*(1+'Tenure Split (WALES)'!C$109)+(U$44*(-(50-$T48)*('Tenure Split (WALES)'!C$110/40))))</f>
        <v>#VALUE!</v>
      </c>
      <c r="W48" s="4" t="e">
        <f>V48*(1+'Tenure Split (WALES)'!D$109)+(V$44*(-(50-$T48)*('Tenure Split (WALES)'!D$110/40)))</f>
        <v>#VALUE!</v>
      </c>
      <c r="X48" s="4" t="e">
        <f>W48*(1+'Tenure Split (WALES)'!E$109)+(W$44*(-(50-$T48)*('Tenure Split (WALES)'!E$110/40)))</f>
        <v>#VALUE!</v>
      </c>
      <c r="Y48" s="4" t="e">
        <f>X48*(1+'Tenure Split (WALES)'!F$109)+(X$44*(-(50-$T48)*('Tenure Split (WALES)'!F$110/40)))</f>
        <v>#VALUE!</v>
      </c>
      <c r="Z48" s="4" t="e">
        <f>Y48*(1+'Tenure Split (WALES)'!G$109)+(Y$44*(-(50-$T48)*('Tenure Split (WALES)'!G$110/40)))</f>
        <v>#VALUE!</v>
      </c>
      <c r="AB48">
        <v>54</v>
      </c>
      <c r="AC48" s="4">
        <f>IF('Tenure Split (WALES)'!$D$8="WG Estimates",'Income (Wales)'!D48,'Income (Wales)'!V48)</f>
        <v>28966.90436645487</v>
      </c>
      <c r="AD48" s="4">
        <f>IF('Tenure Split (WALES)'!$D$8="WG Estimates",'Income (Wales)'!E48,'Income (Wales)'!W48)</f>
        <v>29738.421098909519</v>
      </c>
      <c r="AE48" s="4">
        <f>IF('Tenure Split (WALES)'!$D$8="WG Estimates",'Income (Wales)'!F48,'Income (Wales)'!X48)</f>
        <v>30741.361485462563</v>
      </c>
      <c r="AF48" s="4">
        <f>IF('Tenure Split (WALES)'!$D$8="WG Estimates",'Income (Wales)'!G48,'Income (Wales)'!Y48)</f>
        <v>31909.761507602041</v>
      </c>
      <c r="AG48" s="4">
        <f>IF('Tenure Split (WALES)'!$D$8="WG Estimates",'Income (Wales)'!H48,'Income (Wales)'!Z48)</f>
        <v>33153.699048501105</v>
      </c>
    </row>
    <row r="49" spans="2:33" x14ac:dyDescent="0.25">
      <c r="B49" s="20">
        <v>55</v>
      </c>
      <c r="C49" s="58">
        <v>28547</v>
      </c>
      <c r="D49" s="59">
        <f>C49*(1+'Tenure Split (WALES)'!C$109)+(C$44*(-(50-$B49)*('Tenure Split (WALES)'!C$110/40)))</f>
        <v>29589.204134263124</v>
      </c>
      <c r="E49" s="59">
        <f>D49*(1+'Tenure Split (WALES)'!D$109)+(D$44*(-(50-$B49)*('Tenure Split (WALES)'!D$110/40)))</f>
        <v>30383.40669226016</v>
      </c>
      <c r="F49" s="59">
        <f>E49*(1+'Tenure Split (WALES)'!E$109)+(E$44*(-(50-$B49)*('Tenure Split (WALES)'!E$110/40)))</f>
        <v>31414.362202619741</v>
      </c>
      <c r="G49" s="59">
        <f>F49*(1+'Tenure Split (WALES)'!F$109)+(F$44*(-(50-$B49)*('Tenure Split (WALES)'!F$110/40)))</f>
        <v>32614.803635768618</v>
      </c>
      <c r="H49" s="60">
        <f>G49*(1+'Tenure Split (WALES)'!G$109)+(G$44*(-(50-$B49)*('Tenure Split (WALES)'!G$110/40)))</f>
        <v>33892.921917528271</v>
      </c>
      <c r="L49" s="64" t="str">
        <f t="shared" si="4"/>
        <v/>
      </c>
      <c r="M49" s="251"/>
      <c r="N49" s="14">
        <f t="shared" si="3"/>
        <v>1</v>
      </c>
      <c r="T49" s="1">
        <f t="shared" si="5"/>
        <v>55</v>
      </c>
      <c r="U49" s="4" t="str">
        <f t="shared" si="6"/>
        <v/>
      </c>
      <c r="V49" s="4" t="e">
        <f>IF($V$3=$M$3,M49,U49*(1+'Tenure Split (WALES)'!C$109)+(U$44*(-(50-$T49)*('Tenure Split (WALES)'!C$110/40))))</f>
        <v>#VALUE!</v>
      </c>
      <c r="W49" s="4" t="e">
        <f>V49*(1+'Tenure Split (WALES)'!D$109)+(V$44*(-(50-$T49)*('Tenure Split (WALES)'!D$110/40)))</f>
        <v>#VALUE!</v>
      </c>
      <c r="X49" s="4" t="e">
        <f>W49*(1+'Tenure Split (WALES)'!E$109)+(W$44*(-(50-$T49)*('Tenure Split (WALES)'!E$110/40)))</f>
        <v>#VALUE!</v>
      </c>
      <c r="Y49" s="4" t="e">
        <f>X49*(1+'Tenure Split (WALES)'!F$109)+(X$44*(-(50-$T49)*('Tenure Split (WALES)'!F$110/40)))</f>
        <v>#VALUE!</v>
      </c>
      <c r="Z49" s="4" t="e">
        <f>Y49*(1+'Tenure Split (WALES)'!G$109)+(Y$44*(-(50-$T49)*('Tenure Split (WALES)'!G$110/40)))</f>
        <v>#VALUE!</v>
      </c>
      <c r="AB49">
        <v>55</v>
      </c>
      <c r="AC49" s="4">
        <f>IF('Tenure Split (WALES)'!$D$8="WG Estimates",'Income (Wales)'!D49,'Income (Wales)'!V49)</f>
        <v>29589.204134263124</v>
      </c>
      <c r="AD49" s="4">
        <f>IF('Tenure Split (WALES)'!$D$8="WG Estimates",'Income (Wales)'!E49,'Income (Wales)'!W49)</f>
        <v>30383.40669226016</v>
      </c>
      <c r="AE49" s="4">
        <f>IF('Tenure Split (WALES)'!$D$8="WG Estimates",'Income (Wales)'!F49,'Income (Wales)'!X49)</f>
        <v>31414.362202619741</v>
      </c>
      <c r="AF49" s="4">
        <f>IF('Tenure Split (WALES)'!$D$8="WG Estimates",'Income (Wales)'!G49,'Income (Wales)'!Y49)</f>
        <v>32614.803635768618</v>
      </c>
      <c r="AG49" s="4">
        <f>IF('Tenure Split (WALES)'!$D$8="WG Estimates",'Income (Wales)'!H49,'Income (Wales)'!Z49)</f>
        <v>33892.921917528271</v>
      </c>
    </row>
    <row r="50" spans="2:33" x14ac:dyDescent="0.25">
      <c r="B50" s="20">
        <v>56</v>
      </c>
      <c r="C50" s="58">
        <v>29143.45</v>
      </c>
      <c r="D50" s="59">
        <f>C50*(1+'Tenure Split (WALES)'!C$109)+(C$44*(-(50-$B50)*('Tenure Split (WALES)'!C$110/40)))</f>
        <v>30213.212274719761</v>
      </c>
      <c r="E50" s="59">
        <f>D50*(1+'Tenure Split (WALES)'!D$109)+(D$44*(-(50-$B50)*('Tenure Split (WALES)'!D$110/40)))</f>
        <v>31030.144582560588</v>
      </c>
      <c r="F50" s="59">
        <f>E50*(1+'Tenure Split (WALES)'!E$109)+(E$44*(-(50-$B50)*('Tenure Split (WALES)'!E$110/40)))</f>
        <v>32089.172697343791</v>
      </c>
      <c r="G50" s="59">
        <f>F50*(1+'Tenure Split (WALES)'!F$109)+(F$44*(-(50-$B50)*('Tenure Split (WALES)'!F$110/40)))</f>
        <v>33321.722658646082</v>
      </c>
      <c r="H50" s="60">
        <f>G50*(1+'Tenure Split (WALES)'!G$109)+(G$44*(-(50-$B50)*('Tenure Split (WALES)'!G$110/40)))</f>
        <v>34634.09312005149</v>
      </c>
      <c r="L50" s="64" t="str">
        <f t="shared" si="4"/>
        <v/>
      </c>
      <c r="M50" s="251"/>
      <c r="N50" s="14">
        <f t="shared" si="3"/>
        <v>1</v>
      </c>
      <c r="T50" s="1">
        <f t="shared" si="5"/>
        <v>56</v>
      </c>
      <c r="U50" s="4" t="str">
        <f t="shared" si="6"/>
        <v/>
      </c>
      <c r="V50" s="4" t="e">
        <f>IF($V$3=$M$3,M50,U50*(1+'Tenure Split (WALES)'!C$109)+(U$44*(-(50-$T50)*('Tenure Split (WALES)'!C$110/40))))</f>
        <v>#VALUE!</v>
      </c>
      <c r="W50" s="4" t="e">
        <f>V50*(1+'Tenure Split (WALES)'!D$109)+(V$44*(-(50-$T50)*('Tenure Split (WALES)'!D$110/40)))</f>
        <v>#VALUE!</v>
      </c>
      <c r="X50" s="4" t="e">
        <f>W50*(1+'Tenure Split (WALES)'!E$109)+(W$44*(-(50-$T50)*('Tenure Split (WALES)'!E$110/40)))</f>
        <v>#VALUE!</v>
      </c>
      <c r="Y50" s="4" t="e">
        <f>X50*(1+'Tenure Split (WALES)'!F$109)+(X$44*(-(50-$T50)*('Tenure Split (WALES)'!F$110/40)))</f>
        <v>#VALUE!</v>
      </c>
      <c r="Z50" s="4" t="e">
        <f>Y50*(1+'Tenure Split (WALES)'!G$109)+(Y$44*(-(50-$T50)*('Tenure Split (WALES)'!G$110/40)))</f>
        <v>#VALUE!</v>
      </c>
      <c r="AB50">
        <v>56</v>
      </c>
      <c r="AC50" s="4">
        <f>IF('Tenure Split (WALES)'!$D$8="WG Estimates",'Income (Wales)'!D50,'Income (Wales)'!V50)</f>
        <v>30213.212274719761</v>
      </c>
      <c r="AD50" s="4">
        <f>IF('Tenure Split (WALES)'!$D$8="WG Estimates",'Income (Wales)'!E50,'Income (Wales)'!W50)</f>
        <v>31030.144582560588</v>
      </c>
      <c r="AE50" s="4">
        <f>IF('Tenure Split (WALES)'!$D$8="WG Estimates",'Income (Wales)'!F50,'Income (Wales)'!X50)</f>
        <v>32089.172697343791</v>
      </c>
      <c r="AF50" s="4">
        <f>IF('Tenure Split (WALES)'!$D$8="WG Estimates",'Income (Wales)'!G50,'Income (Wales)'!Y50)</f>
        <v>33321.722658646082</v>
      </c>
      <c r="AG50" s="4">
        <f>IF('Tenure Split (WALES)'!$D$8="WG Estimates",'Income (Wales)'!H50,'Income (Wales)'!Z50)</f>
        <v>34634.09312005149</v>
      </c>
    </row>
    <row r="51" spans="2:33" x14ac:dyDescent="0.25">
      <c r="B51" s="20">
        <v>57</v>
      </c>
      <c r="C51" s="58">
        <v>29875</v>
      </c>
      <c r="D51" s="59">
        <f>C51*(1+'Tenure Split (WALES)'!C$109)+(C$44*(-(50-$B51)*('Tenure Split (WALES)'!C$110/40)))</f>
        <v>30977.099896871325</v>
      </c>
      <c r="E51" s="59">
        <f>D51*(1+'Tenure Split (WALES)'!D$109)+(D$44*(-(50-$B51)*('Tenure Split (WALES)'!D$110/40)))</f>
        <v>31820.358423113859</v>
      </c>
      <c r="F51" s="59">
        <f>E51*(1+'Tenure Split (WALES)'!E$109)+(E$44*(-(50-$B51)*('Tenure Split (WALES)'!E$110/40)))</f>
        <v>32912.165585574046</v>
      </c>
      <c r="G51" s="59">
        <f>F51*(1+'Tenure Split (WALES)'!F$109)+(F$44*(-(50-$B51)*('Tenure Split (WALES)'!F$110/40)))</f>
        <v>34182.319545427505</v>
      </c>
      <c r="H51" s="60">
        <f>G51*(1+'Tenure Split (WALES)'!G$109)+(G$44*(-(50-$B51)*('Tenure Split (WALES)'!G$110/40)))</f>
        <v>35534.791507614806</v>
      </c>
      <c r="L51" s="64" t="str">
        <f t="shared" si="4"/>
        <v/>
      </c>
      <c r="M51" s="251"/>
      <c r="N51" s="14">
        <f t="shared" si="3"/>
        <v>1</v>
      </c>
      <c r="T51" s="1">
        <f t="shared" si="5"/>
        <v>57</v>
      </c>
      <c r="U51" s="4" t="str">
        <f t="shared" si="6"/>
        <v/>
      </c>
      <c r="V51" s="4" t="e">
        <f>IF($V$3=$M$3,M51,U51*(1+'Tenure Split (WALES)'!C$109)+(U$44*(-(50-$T51)*('Tenure Split (WALES)'!C$110/40))))</f>
        <v>#VALUE!</v>
      </c>
      <c r="W51" s="4" t="e">
        <f>V51*(1+'Tenure Split (WALES)'!D$109)+(V$44*(-(50-$T51)*('Tenure Split (WALES)'!D$110/40)))</f>
        <v>#VALUE!</v>
      </c>
      <c r="X51" s="4" t="e">
        <f>W51*(1+'Tenure Split (WALES)'!E$109)+(W$44*(-(50-$T51)*('Tenure Split (WALES)'!E$110/40)))</f>
        <v>#VALUE!</v>
      </c>
      <c r="Y51" s="4" t="e">
        <f>X51*(1+'Tenure Split (WALES)'!F$109)+(X$44*(-(50-$T51)*('Tenure Split (WALES)'!F$110/40)))</f>
        <v>#VALUE!</v>
      </c>
      <c r="Z51" s="4" t="e">
        <f>Y51*(1+'Tenure Split (WALES)'!G$109)+(Y$44*(-(50-$T51)*('Tenure Split (WALES)'!G$110/40)))</f>
        <v>#VALUE!</v>
      </c>
      <c r="AB51">
        <v>57</v>
      </c>
      <c r="AC51" s="4">
        <f>IF('Tenure Split (WALES)'!$D$8="WG Estimates",'Income (Wales)'!D51,'Income (Wales)'!V51)</f>
        <v>30977.099896871325</v>
      </c>
      <c r="AD51" s="4">
        <f>IF('Tenure Split (WALES)'!$D$8="WG Estimates",'Income (Wales)'!E51,'Income (Wales)'!W51)</f>
        <v>31820.358423113859</v>
      </c>
      <c r="AE51" s="4">
        <f>IF('Tenure Split (WALES)'!$D$8="WG Estimates",'Income (Wales)'!F51,'Income (Wales)'!X51)</f>
        <v>32912.165585574046</v>
      </c>
      <c r="AF51" s="4">
        <f>IF('Tenure Split (WALES)'!$D$8="WG Estimates",'Income (Wales)'!G51,'Income (Wales)'!Y51)</f>
        <v>34182.319545427505</v>
      </c>
      <c r="AG51" s="4">
        <f>IF('Tenure Split (WALES)'!$D$8="WG Estimates",'Income (Wales)'!H51,'Income (Wales)'!Z51)</f>
        <v>35534.791507614806</v>
      </c>
    </row>
    <row r="52" spans="2:33" x14ac:dyDescent="0.25">
      <c r="B52" s="20">
        <v>58</v>
      </c>
      <c r="C52" s="58">
        <v>30399.26</v>
      </c>
      <c r="D52" s="59">
        <f>C52*(1+'Tenure Split (WALES)'!C$109)+(C$44*(-(50-$B52)*('Tenure Split (WALES)'!C$110/40)))</f>
        <v>31526.364145517771</v>
      </c>
      <c r="E52" s="59">
        <f>D52*(1+'Tenure Split (WALES)'!D$109)+(D$44*(-(50-$B52)*('Tenure Split (WALES)'!D$110/40)))</f>
        <v>32390.430666865421</v>
      </c>
      <c r="F52" s="59">
        <f>E52*(1+'Tenure Split (WALES)'!E$109)+(E$44*(-(50-$B52)*('Tenure Split (WALES)'!E$110/40)))</f>
        <v>33507.795569659967</v>
      </c>
      <c r="G52" s="59">
        <f>F52*(1+'Tenure Split (WALES)'!F$109)+(F$44*(-(50-$B52)*('Tenure Split (WALES)'!F$110/40)))</f>
        <v>34807.121580923587</v>
      </c>
      <c r="H52" s="60">
        <f>G52*(1+'Tenure Split (WALES)'!G$109)+(G$44*(-(50-$B52)*('Tenure Split (WALES)'!G$110/40)))</f>
        <v>36190.720167665459</v>
      </c>
      <c r="L52" s="64" t="str">
        <f t="shared" si="4"/>
        <v/>
      </c>
      <c r="M52" s="251"/>
      <c r="N52" s="14">
        <f t="shared" si="3"/>
        <v>1</v>
      </c>
      <c r="T52" s="1">
        <f t="shared" si="5"/>
        <v>58</v>
      </c>
      <c r="U52" s="4" t="str">
        <f t="shared" si="6"/>
        <v/>
      </c>
      <c r="V52" s="4" t="e">
        <f>IF($V$3=$M$3,M52,U52*(1+'Tenure Split (WALES)'!C$109)+(U$44*(-(50-$T52)*('Tenure Split (WALES)'!C$110/40))))</f>
        <v>#VALUE!</v>
      </c>
      <c r="W52" s="4" t="e">
        <f>V52*(1+'Tenure Split (WALES)'!D$109)+(V$44*(-(50-$T52)*('Tenure Split (WALES)'!D$110/40)))</f>
        <v>#VALUE!</v>
      </c>
      <c r="X52" s="4" t="e">
        <f>W52*(1+'Tenure Split (WALES)'!E$109)+(W$44*(-(50-$T52)*('Tenure Split (WALES)'!E$110/40)))</f>
        <v>#VALUE!</v>
      </c>
      <c r="Y52" s="4" t="e">
        <f>X52*(1+'Tenure Split (WALES)'!F$109)+(X$44*(-(50-$T52)*('Tenure Split (WALES)'!F$110/40)))</f>
        <v>#VALUE!</v>
      </c>
      <c r="Z52" s="4" t="e">
        <f>Y52*(1+'Tenure Split (WALES)'!G$109)+(Y$44*(-(50-$T52)*('Tenure Split (WALES)'!G$110/40)))</f>
        <v>#VALUE!</v>
      </c>
      <c r="AB52">
        <v>58</v>
      </c>
      <c r="AC52" s="4">
        <f>IF('Tenure Split (WALES)'!$D$8="WG Estimates",'Income (Wales)'!D52,'Income (Wales)'!V52)</f>
        <v>31526.364145517771</v>
      </c>
      <c r="AD52" s="4">
        <f>IF('Tenure Split (WALES)'!$D$8="WG Estimates",'Income (Wales)'!E52,'Income (Wales)'!W52)</f>
        <v>32390.430666865421</v>
      </c>
      <c r="AE52" s="4">
        <f>IF('Tenure Split (WALES)'!$D$8="WG Estimates",'Income (Wales)'!F52,'Income (Wales)'!X52)</f>
        <v>33507.795569659967</v>
      </c>
      <c r="AF52" s="4">
        <f>IF('Tenure Split (WALES)'!$D$8="WG Estimates",'Income (Wales)'!G52,'Income (Wales)'!Y52)</f>
        <v>34807.121580923587</v>
      </c>
      <c r="AG52" s="4">
        <f>IF('Tenure Split (WALES)'!$D$8="WG Estimates",'Income (Wales)'!H52,'Income (Wales)'!Z52)</f>
        <v>36190.720167665459</v>
      </c>
    </row>
    <row r="53" spans="2:33" x14ac:dyDescent="0.25">
      <c r="B53" s="20">
        <v>59</v>
      </c>
      <c r="C53" s="58">
        <v>30953.5</v>
      </c>
      <c r="D53" s="59">
        <f>C53*(1+'Tenure Split (WALES)'!C$109)+(C$44*(-(50-$B53)*('Tenure Split (WALES)'!C$110/40)))</f>
        <v>32106.669007496665</v>
      </c>
      <c r="E53" s="59">
        <f>D53*(1+'Tenure Split (WALES)'!D$109)+(D$44*(-(50-$B53)*('Tenure Split (WALES)'!D$110/40)))</f>
        <v>32992.341615195655</v>
      </c>
      <c r="F53" s="59">
        <f>E53*(1+'Tenure Split (WALES)'!E$109)+(E$44*(-(50-$B53)*('Tenure Split (WALES)'!E$110/40)))</f>
        <v>34136.308663718599</v>
      </c>
      <c r="G53" s="59">
        <f>F53*(1+'Tenure Split (WALES)'!F$109)+(F$44*(-(50-$B53)*('Tenure Split (WALES)'!F$110/40)))</f>
        <v>35466.026224560577</v>
      </c>
      <c r="H53" s="60">
        <f>G53*(1+'Tenure Split (WALES)'!G$109)+(G$44*(-(50-$B53)*('Tenure Split (WALES)'!G$110/40)))</f>
        <v>36882.049456935209</v>
      </c>
      <c r="L53" s="64" t="str">
        <f t="shared" si="4"/>
        <v/>
      </c>
      <c r="M53" s="251"/>
      <c r="N53" s="14">
        <f t="shared" si="3"/>
        <v>1</v>
      </c>
      <c r="T53" s="1">
        <f t="shared" si="5"/>
        <v>59</v>
      </c>
      <c r="U53" s="4" t="str">
        <f t="shared" si="6"/>
        <v/>
      </c>
      <c r="V53" s="4" t="e">
        <f>IF($V$3=$M$3,M53,U53*(1+'Tenure Split (WALES)'!C$109)+(U$44*(-(50-$T53)*('Tenure Split (WALES)'!C$110/40))))</f>
        <v>#VALUE!</v>
      </c>
      <c r="W53" s="4" t="e">
        <f>V53*(1+'Tenure Split (WALES)'!D$109)+(V$44*(-(50-$T53)*('Tenure Split (WALES)'!D$110/40)))</f>
        <v>#VALUE!</v>
      </c>
      <c r="X53" s="4" t="e">
        <f>W53*(1+'Tenure Split (WALES)'!E$109)+(W$44*(-(50-$T53)*('Tenure Split (WALES)'!E$110/40)))</f>
        <v>#VALUE!</v>
      </c>
      <c r="Y53" s="4" t="e">
        <f>X53*(1+'Tenure Split (WALES)'!F$109)+(X$44*(-(50-$T53)*('Tenure Split (WALES)'!F$110/40)))</f>
        <v>#VALUE!</v>
      </c>
      <c r="Z53" s="4" t="e">
        <f>Y53*(1+'Tenure Split (WALES)'!G$109)+(Y$44*(-(50-$T53)*('Tenure Split (WALES)'!G$110/40)))</f>
        <v>#VALUE!</v>
      </c>
      <c r="AB53">
        <v>59</v>
      </c>
      <c r="AC53" s="4">
        <f>IF('Tenure Split (WALES)'!$D$8="WG Estimates",'Income (Wales)'!D53,'Income (Wales)'!V53)</f>
        <v>32106.669007496665</v>
      </c>
      <c r="AD53" s="4">
        <f>IF('Tenure Split (WALES)'!$D$8="WG Estimates",'Income (Wales)'!E53,'Income (Wales)'!W53)</f>
        <v>32992.341615195655</v>
      </c>
      <c r="AE53" s="4">
        <f>IF('Tenure Split (WALES)'!$D$8="WG Estimates",'Income (Wales)'!F53,'Income (Wales)'!X53)</f>
        <v>34136.308663718599</v>
      </c>
      <c r="AF53" s="4">
        <f>IF('Tenure Split (WALES)'!$D$8="WG Estimates",'Income (Wales)'!G53,'Income (Wales)'!Y53)</f>
        <v>35466.026224560577</v>
      </c>
      <c r="AG53" s="4">
        <f>IF('Tenure Split (WALES)'!$D$8="WG Estimates",'Income (Wales)'!H53,'Income (Wales)'!Z53)</f>
        <v>36882.049456935209</v>
      </c>
    </row>
    <row r="54" spans="2:33" x14ac:dyDescent="0.25">
      <c r="B54" s="20">
        <v>60</v>
      </c>
      <c r="C54" s="58">
        <v>31647.08</v>
      </c>
      <c r="D54" s="59">
        <f>C54*(1+'Tenure Split (WALES)'!C$109)+(C$44*(-(50-$B54)*('Tenure Split (WALES)'!C$110/40)))</f>
        <v>32831.243351188161</v>
      </c>
      <c r="E54" s="59">
        <f>D54*(1+'Tenure Split (WALES)'!D$109)+(D$44*(-(50-$B54)*('Tenure Split (WALES)'!D$110/40)))</f>
        <v>33742.231385940649</v>
      </c>
      <c r="F54" s="59">
        <f>E54*(1+'Tenure Split (WALES)'!E$109)+(E$44*(-(50-$B54)*('Tenure Split (WALES)'!E$110/40)))</f>
        <v>34917.654731212897</v>
      </c>
      <c r="G54" s="59">
        <f>F54*(1+'Tenure Split (WALES)'!F$109)+(F$44*(-(50-$B54)*('Tenure Split (WALES)'!F$110/40)))</f>
        <v>36283.431782752581</v>
      </c>
      <c r="H54" s="60">
        <f>G54*(1+'Tenure Split (WALES)'!G$109)+(G$44*(-(50-$B54)*('Tenure Split (WALES)'!G$110/40)))</f>
        <v>37737.91255792584</v>
      </c>
      <c r="L54" s="64" t="str">
        <f t="shared" si="4"/>
        <v/>
      </c>
      <c r="M54" s="251"/>
      <c r="N54" s="14">
        <f t="shared" si="3"/>
        <v>1</v>
      </c>
      <c r="T54" s="1">
        <f t="shared" si="5"/>
        <v>60</v>
      </c>
      <c r="U54" s="4" t="str">
        <f t="shared" si="6"/>
        <v/>
      </c>
      <c r="V54" s="4" t="e">
        <f>IF($V$3=$M$3,M54,U54*(1+'Tenure Split (WALES)'!C$109)+(U$44*(-(50-$T54)*('Tenure Split (WALES)'!C$110/40))))</f>
        <v>#VALUE!</v>
      </c>
      <c r="W54" s="4" t="e">
        <f>V54*(1+'Tenure Split (WALES)'!D$109)+(V$44*(-(50-$T54)*('Tenure Split (WALES)'!D$110/40)))</f>
        <v>#VALUE!</v>
      </c>
      <c r="X54" s="4" t="e">
        <f>W54*(1+'Tenure Split (WALES)'!E$109)+(W$44*(-(50-$T54)*('Tenure Split (WALES)'!E$110/40)))</f>
        <v>#VALUE!</v>
      </c>
      <c r="Y54" s="4" t="e">
        <f>X54*(1+'Tenure Split (WALES)'!F$109)+(X$44*(-(50-$T54)*('Tenure Split (WALES)'!F$110/40)))</f>
        <v>#VALUE!</v>
      </c>
      <c r="Z54" s="4" t="e">
        <f>Y54*(1+'Tenure Split (WALES)'!G$109)+(Y$44*(-(50-$T54)*('Tenure Split (WALES)'!G$110/40)))</f>
        <v>#VALUE!</v>
      </c>
      <c r="AB54">
        <v>60</v>
      </c>
      <c r="AC54" s="4">
        <f>IF('Tenure Split (WALES)'!$D$8="WG Estimates",'Income (Wales)'!D54,'Income (Wales)'!V54)</f>
        <v>32831.243351188161</v>
      </c>
      <c r="AD54" s="4">
        <f>IF('Tenure Split (WALES)'!$D$8="WG Estimates",'Income (Wales)'!E54,'Income (Wales)'!W54)</f>
        <v>33742.231385940649</v>
      </c>
      <c r="AE54" s="4">
        <f>IF('Tenure Split (WALES)'!$D$8="WG Estimates",'Income (Wales)'!F54,'Income (Wales)'!X54)</f>
        <v>34917.654731212897</v>
      </c>
      <c r="AF54" s="4">
        <f>IF('Tenure Split (WALES)'!$D$8="WG Estimates",'Income (Wales)'!G54,'Income (Wales)'!Y54)</f>
        <v>36283.431782752581</v>
      </c>
      <c r="AG54" s="4">
        <f>IF('Tenure Split (WALES)'!$D$8="WG Estimates",'Income (Wales)'!H54,'Income (Wales)'!Z54)</f>
        <v>37737.91255792584</v>
      </c>
    </row>
    <row r="55" spans="2:33" x14ac:dyDescent="0.25">
      <c r="B55" s="20">
        <v>61</v>
      </c>
      <c r="C55" s="58">
        <v>32125</v>
      </c>
      <c r="D55" s="59">
        <f>C55*(1+'Tenure Split (WALES)'!C$109)+(C$44*(-(50-$B55)*('Tenure Split (WALES)'!C$110/40)))</f>
        <v>33332.52821284908</v>
      </c>
      <c r="E55" s="59">
        <f>D55*(1+'Tenure Split (WALES)'!D$109)+(D$44*(-(50-$B55)*('Tenure Split (WALES)'!D$110/40)))</f>
        <v>34263.090635356755</v>
      </c>
      <c r="F55" s="59">
        <f>E55*(1+'Tenure Split (WALES)'!E$109)+(E$44*(-(50-$B55)*('Tenure Split (WALES)'!E$110/40)))</f>
        <v>35462.457386541733</v>
      </c>
      <c r="G55" s="59">
        <f>F55*(1+'Tenure Split (WALES)'!F$109)+(F$44*(-(50-$B55)*('Tenure Split (WALES)'!F$110/40)))</f>
        <v>36855.521514671214</v>
      </c>
      <c r="H55" s="60">
        <f>G55*(1+'Tenure Split (WALES)'!G$109)+(G$44*(-(50-$B55)*('Tenure Split (WALES)'!G$110/40)))</f>
        <v>38339.122566941987</v>
      </c>
      <c r="L55" s="64" t="str">
        <f t="shared" si="4"/>
        <v/>
      </c>
      <c r="M55" s="251"/>
      <c r="N55" s="14">
        <f t="shared" si="3"/>
        <v>1</v>
      </c>
      <c r="T55" s="1">
        <f t="shared" si="5"/>
        <v>61</v>
      </c>
      <c r="U55" s="4" t="str">
        <f t="shared" si="6"/>
        <v/>
      </c>
      <c r="V55" s="4" t="e">
        <f>IF($V$3=$M$3,M55,U55*(1+'Tenure Split (WALES)'!C$109)+(U$44*(-(50-$T55)*('Tenure Split (WALES)'!C$110/40))))</f>
        <v>#VALUE!</v>
      </c>
      <c r="W55" s="4" t="e">
        <f>V55*(1+'Tenure Split (WALES)'!D$109)+(V$44*(-(50-$T55)*('Tenure Split (WALES)'!D$110/40)))</f>
        <v>#VALUE!</v>
      </c>
      <c r="X55" s="4" t="e">
        <f>W55*(1+'Tenure Split (WALES)'!E$109)+(W$44*(-(50-$T55)*('Tenure Split (WALES)'!E$110/40)))</f>
        <v>#VALUE!</v>
      </c>
      <c r="Y55" s="4" t="e">
        <f>X55*(1+'Tenure Split (WALES)'!F$109)+(X$44*(-(50-$T55)*('Tenure Split (WALES)'!F$110/40)))</f>
        <v>#VALUE!</v>
      </c>
      <c r="Z55" s="4" t="e">
        <f>Y55*(1+'Tenure Split (WALES)'!G$109)+(Y$44*(-(50-$T55)*('Tenure Split (WALES)'!G$110/40)))</f>
        <v>#VALUE!</v>
      </c>
      <c r="AB55">
        <v>61</v>
      </c>
      <c r="AC55" s="4">
        <f>IF('Tenure Split (WALES)'!$D$8="WG Estimates",'Income (Wales)'!D55,'Income (Wales)'!V55)</f>
        <v>33332.52821284908</v>
      </c>
      <c r="AD55" s="4">
        <f>IF('Tenure Split (WALES)'!$D$8="WG Estimates",'Income (Wales)'!E55,'Income (Wales)'!W55)</f>
        <v>34263.090635356755</v>
      </c>
      <c r="AE55" s="4">
        <f>IF('Tenure Split (WALES)'!$D$8="WG Estimates",'Income (Wales)'!F55,'Income (Wales)'!X55)</f>
        <v>35462.457386541733</v>
      </c>
      <c r="AF55" s="4">
        <f>IF('Tenure Split (WALES)'!$D$8="WG Estimates",'Income (Wales)'!G55,'Income (Wales)'!Y55)</f>
        <v>36855.521514671214</v>
      </c>
      <c r="AG55" s="4">
        <f>IF('Tenure Split (WALES)'!$D$8="WG Estimates",'Income (Wales)'!H55,'Income (Wales)'!Z55)</f>
        <v>38339.122566941987</v>
      </c>
    </row>
    <row r="56" spans="2:33" x14ac:dyDescent="0.25">
      <c r="B56" s="20">
        <v>62</v>
      </c>
      <c r="C56" s="58">
        <v>32819.949999999997</v>
      </c>
      <c r="D56" s="59">
        <f>C56*(1+'Tenure Split (WALES)'!C$109)+(C$44*(-(50-$B56)*('Tenure Split (WALES)'!C$110/40)))</f>
        <v>34058.521023527413</v>
      </c>
      <c r="E56" s="59">
        <f>D56*(1+'Tenure Split (WALES)'!D$109)+(D$44*(-(50-$B56)*('Tenure Split (WALES)'!D$110/40)))</f>
        <v>35014.435343569152</v>
      </c>
      <c r="F56" s="59">
        <f>E56*(1+'Tenure Split (WALES)'!E$109)+(E$44*(-(50-$B56)*('Tenure Split (WALES)'!E$110/40)))</f>
        <v>36245.306117833985</v>
      </c>
      <c r="G56" s="59">
        <f>F56*(1+'Tenure Split (WALES)'!F$109)+(F$44*(-(50-$B56)*('Tenure Split (WALES)'!F$110/40)))</f>
        <v>37674.485464229227</v>
      </c>
      <c r="H56" s="60">
        <f>G56*(1+'Tenure Split (WALES)'!G$109)+(G$44*(-(50-$B56)*('Tenure Split (WALES)'!G$110/40)))</f>
        <v>39196.603375138424</v>
      </c>
      <c r="L56" s="64" t="str">
        <f t="shared" si="4"/>
        <v/>
      </c>
      <c r="M56" s="251"/>
      <c r="N56" s="14">
        <f t="shared" si="3"/>
        <v>1</v>
      </c>
      <c r="T56" s="1">
        <f t="shared" si="5"/>
        <v>62</v>
      </c>
      <c r="U56" s="4" t="str">
        <f t="shared" si="6"/>
        <v/>
      </c>
      <c r="V56" s="4" t="e">
        <f>IF($V$3=$M$3,M56,U56*(1+'Tenure Split (WALES)'!C$109)+(U$44*(-(50-$T56)*('Tenure Split (WALES)'!C$110/40))))</f>
        <v>#VALUE!</v>
      </c>
      <c r="W56" s="4" t="e">
        <f>V56*(1+'Tenure Split (WALES)'!D$109)+(V$44*(-(50-$T56)*('Tenure Split (WALES)'!D$110/40)))</f>
        <v>#VALUE!</v>
      </c>
      <c r="X56" s="4" t="e">
        <f>W56*(1+'Tenure Split (WALES)'!E$109)+(W$44*(-(50-$T56)*('Tenure Split (WALES)'!E$110/40)))</f>
        <v>#VALUE!</v>
      </c>
      <c r="Y56" s="4" t="e">
        <f>X56*(1+'Tenure Split (WALES)'!F$109)+(X$44*(-(50-$T56)*('Tenure Split (WALES)'!F$110/40)))</f>
        <v>#VALUE!</v>
      </c>
      <c r="Z56" s="4" t="e">
        <f>Y56*(1+'Tenure Split (WALES)'!G$109)+(Y$44*(-(50-$T56)*('Tenure Split (WALES)'!G$110/40)))</f>
        <v>#VALUE!</v>
      </c>
      <c r="AB56">
        <v>62</v>
      </c>
      <c r="AC56" s="4">
        <f>IF('Tenure Split (WALES)'!$D$8="WG Estimates",'Income (Wales)'!D56,'Income (Wales)'!V56)</f>
        <v>34058.521023527413</v>
      </c>
      <c r="AD56" s="4">
        <f>IF('Tenure Split (WALES)'!$D$8="WG Estimates",'Income (Wales)'!E56,'Income (Wales)'!W56)</f>
        <v>35014.435343569152</v>
      </c>
      <c r="AE56" s="4">
        <f>IF('Tenure Split (WALES)'!$D$8="WG Estimates",'Income (Wales)'!F56,'Income (Wales)'!X56)</f>
        <v>36245.306117833985</v>
      </c>
      <c r="AF56" s="4">
        <f>IF('Tenure Split (WALES)'!$D$8="WG Estimates",'Income (Wales)'!G56,'Income (Wales)'!Y56)</f>
        <v>37674.485464229227</v>
      </c>
      <c r="AG56" s="4">
        <f>IF('Tenure Split (WALES)'!$D$8="WG Estimates",'Income (Wales)'!H56,'Income (Wales)'!Z56)</f>
        <v>39196.603375138424</v>
      </c>
    </row>
    <row r="57" spans="2:33" x14ac:dyDescent="0.25">
      <c r="B57" s="20">
        <v>63</v>
      </c>
      <c r="C57" s="58">
        <v>33642</v>
      </c>
      <c r="D57" s="59">
        <f>C57*(1+'Tenure Split (WALES)'!C$109)+(C$44*(-(50-$B57)*('Tenure Split (WALES)'!C$110/40)))</f>
        <v>34916.110296999424</v>
      </c>
      <c r="E57" s="59">
        <f>D57*(1+'Tenure Split (WALES)'!D$109)+(D$44*(-(50-$B57)*('Tenure Split (WALES)'!D$110/40)))</f>
        <v>35900.760016823268</v>
      </c>
      <c r="F57" s="59">
        <f>E57*(1+'Tenure Split (WALES)'!E$109)+(E$44*(-(50-$B57)*('Tenure Split (WALES)'!E$110/40)))</f>
        <v>37167.562563520296</v>
      </c>
      <c r="G57" s="59">
        <f>F57*(1+'Tenure Split (WALES)'!F$109)+(F$44*(-(50-$B57)*('Tenure Split (WALES)'!F$110/40)))</f>
        <v>38638.027182123224</v>
      </c>
      <c r="H57" s="60">
        <f>G57*(1+'Tenure Split (WALES)'!G$109)+(G$44*(-(50-$B57)*('Tenure Split (WALES)'!G$110/40)))</f>
        <v>40204.164902939556</v>
      </c>
      <c r="L57" s="64" t="str">
        <f t="shared" si="4"/>
        <v/>
      </c>
      <c r="M57" s="251"/>
      <c r="N57" s="14">
        <f t="shared" si="3"/>
        <v>1</v>
      </c>
      <c r="T57" s="1">
        <f t="shared" si="5"/>
        <v>63</v>
      </c>
      <c r="U57" s="4" t="str">
        <f t="shared" si="6"/>
        <v/>
      </c>
      <c r="V57" s="4" t="e">
        <f>IF($V$3=$M$3,M57,U57*(1+'Tenure Split (WALES)'!C$109)+(U$44*(-(50-$T57)*('Tenure Split (WALES)'!C$110/40))))</f>
        <v>#VALUE!</v>
      </c>
      <c r="W57" s="4" t="e">
        <f>V57*(1+'Tenure Split (WALES)'!D$109)+(V$44*(-(50-$T57)*('Tenure Split (WALES)'!D$110/40)))</f>
        <v>#VALUE!</v>
      </c>
      <c r="X57" s="4" t="e">
        <f>W57*(1+'Tenure Split (WALES)'!E$109)+(W$44*(-(50-$T57)*('Tenure Split (WALES)'!E$110/40)))</f>
        <v>#VALUE!</v>
      </c>
      <c r="Y57" s="4" t="e">
        <f>X57*(1+'Tenure Split (WALES)'!F$109)+(X$44*(-(50-$T57)*('Tenure Split (WALES)'!F$110/40)))</f>
        <v>#VALUE!</v>
      </c>
      <c r="Z57" s="4" t="e">
        <f>Y57*(1+'Tenure Split (WALES)'!G$109)+(Y$44*(-(50-$T57)*('Tenure Split (WALES)'!G$110/40)))</f>
        <v>#VALUE!</v>
      </c>
      <c r="AB57">
        <v>63</v>
      </c>
      <c r="AC57" s="4">
        <f>IF('Tenure Split (WALES)'!$D$8="WG Estimates",'Income (Wales)'!D57,'Income (Wales)'!V57)</f>
        <v>34916.110296999424</v>
      </c>
      <c r="AD57" s="4">
        <f>IF('Tenure Split (WALES)'!$D$8="WG Estimates",'Income (Wales)'!E57,'Income (Wales)'!W57)</f>
        <v>35900.760016823268</v>
      </c>
      <c r="AE57" s="4">
        <f>IF('Tenure Split (WALES)'!$D$8="WG Estimates",'Income (Wales)'!F57,'Income (Wales)'!X57)</f>
        <v>37167.562563520296</v>
      </c>
      <c r="AF57" s="4">
        <f>IF('Tenure Split (WALES)'!$D$8="WG Estimates",'Income (Wales)'!G57,'Income (Wales)'!Y57)</f>
        <v>38638.027182123224</v>
      </c>
      <c r="AG57" s="4">
        <f>IF('Tenure Split (WALES)'!$D$8="WG Estimates",'Income (Wales)'!H57,'Income (Wales)'!Z57)</f>
        <v>40204.164902939556</v>
      </c>
    </row>
    <row r="58" spans="2:33" x14ac:dyDescent="0.25">
      <c r="B58" s="20">
        <v>64</v>
      </c>
      <c r="C58" s="58">
        <v>34407.762499999997</v>
      </c>
      <c r="D58" s="59">
        <f>C58*(1+'Tenure Split (WALES)'!C$109)+(C$44*(-(50-$B58)*('Tenure Split (WALES)'!C$110/40)))</f>
        <v>35715.420767170879</v>
      </c>
      <c r="E58" s="59">
        <f>D58*(1+'Tenure Split (WALES)'!D$109)+(D$44*(-(50-$B58)*('Tenure Split (WALES)'!D$110/40)))</f>
        <v>36727.307469130974</v>
      </c>
      <c r="F58" s="59">
        <f>E58*(1+'Tenure Split (WALES)'!E$109)+(E$44*(-(50-$B58)*('Tenure Split (WALES)'!E$110/40)))</f>
        <v>38028.080915391045</v>
      </c>
      <c r="G58" s="59">
        <f>F58*(1+'Tenure Split (WALES)'!F$109)+(F$44*(-(50-$B58)*('Tenure Split (WALES)'!F$110/40)))</f>
        <v>39537.541196356993</v>
      </c>
      <c r="H58" s="60">
        <f>G58*(1+'Tenure Split (WALES)'!G$109)+(G$44*(-(50-$B58)*('Tenure Split (WALES)'!G$110/40)))</f>
        <v>41145.261690341365</v>
      </c>
      <c r="L58" s="64" t="str">
        <f t="shared" si="4"/>
        <v/>
      </c>
      <c r="M58" s="251"/>
      <c r="N58" s="14">
        <f t="shared" si="3"/>
        <v>1</v>
      </c>
      <c r="T58" s="1">
        <f t="shared" si="5"/>
        <v>64</v>
      </c>
      <c r="U58" s="4" t="str">
        <f t="shared" si="6"/>
        <v/>
      </c>
      <c r="V58" s="4" t="e">
        <f>IF($V$3=$M$3,M58,U58*(1+'Tenure Split (WALES)'!C$109)+(U$44*(-(50-$T58)*('Tenure Split (WALES)'!C$110/40))))</f>
        <v>#VALUE!</v>
      </c>
      <c r="W58" s="4" t="e">
        <f>V58*(1+'Tenure Split (WALES)'!D$109)+(V$44*(-(50-$T58)*('Tenure Split (WALES)'!D$110/40)))</f>
        <v>#VALUE!</v>
      </c>
      <c r="X58" s="4" t="e">
        <f>W58*(1+'Tenure Split (WALES)'!E$109)+(W$44*(-(50-$T58)*('Tenure Split (WALES)'!E$110/40)))</f>
        <v>#VALUE!</v>
      </c>
      <c r="Y58" s="4" t="e">
        <f>X58*(1+'Tenure Split (WALES)'!F$109)+(X$44*(-(50-$T58)*('Tenure Split (WALES)'!F$110/40)))</f>
        <v>#VALUE!</v>
      </c>
      <c r="Z58" s="4" t="e">
        <f>Y58*(1+'Tenure Split (WALES)'!G$109)+(Y$44*(-(50-$T58)*('Tenure Split (WALES)'!G$110/40)))</f>
        <v>#VALUE!</v>
      </c>
      <c r="AB58">
        <v>64</v>
      </c>
      <c r="AC58" s="4">
        <f>IF('Tenure Split (WALES)'!$D$8="WG Estimates",'Income (Wales)'!D58,'Income (Wales)'!V58)</f>
        <v>35715.420767170879</v>
      </c>
      <c r="AD58" s="4">
        <f>IF('Tenure Split (WALES)'!$D$8="WG Estimates",'Income (Wales)'!E58,'Income (Wales)'!W58)</f>
        <v>36727.307469130974</v>
      </c>
      <c r="AE58" s="4">
        <f>IF('Tenure Split (WALES)'!$D$8="WG Estimates",'Income (Wales)'!F58,'Income (Wales)'!X58)</f>
        <v>38028.080915391045</v>
      </c>
      <c r="AF58" s="4">
        <f>IF('Tenure Split (WALES)'!$D$8="WG Estimates",'Income (Wales)'!G58,'Income (Wales)'!Y58)</f>
        <v>39537.541196356993</v>
      </c>
      <c r="AG58" s="4">
        <f>IF('Tenure Split (WALES)'!$D$8="WG Estimates",'Income (Wales)'!H58,'Income (Wales)'!Z58)</f>
        <v>41145.261690341365</v>
      </c>
    </row>
    <row r="59" spans="2:33" x14ac:dyDescent="0.25">
      <c r="B59" s="20">
        <v>65</v>
      </c>
      <c r="C59" s="58">
        <v>35259.4</v>
      </c>
      <c r="D59" s="59">
        <f>C59*(1+'Tenure Split (WALES)'!C$109)+(C$44*(-(50-$B59)*('Tenure Split (WALES)'!C$110/40)))</f>
        <v>36603.644268360498</v>
      </c>
      <c r="E59" s="59">
        <f>D59*(1+'Tenure Split (WALES)'!D$109)+(D$44*(-(50-$B59)*('Tenure Split (WALES)'!D$110/40)))</f>
        <v>37645.054012689347</v>
      </c>
      <c r="F59" s="59">
        <f>E59*(1+'Tenure Split (WALES)'!E$109)+(E$44*(-(50-$B59)*('Tenure Split (WALES)'!E$110/40)))</f>
        <v>38982.789963356146</v>
      </c>
      <c r="G59" s="59">
        <f>F59*(1+'Tenure Split (WALES)'!F$109)+(F$44*(-(50-$B59)*('Tenure Split (WALES)'!F$110/40)))</f>
        <v>40534.739048953124</v>
      </c>
      <c r="H59" s="60">
        <f>G59*(1+'Tenure Split (WALES)'!G$109)+(G$44*(-(50-$B59)*('Tenure Split (WALES)'!G$110/40)))</f>
        <v>42187.760380151187</v>
      </c>
      <c r="L59" s="64" t="str">
        <f t="shared" si="4"/>
        <v/>
      </c>
      <c r="M59" s="251"/>
      <c r="N59" s="14">
        <f t="shared" si="3"/>
        <v>1</v>
      </c>
      <c r="T59" s="1">
        <f t="shared" si="5"/>
        <v>65</v>
      </c>
      <c r="U59" s="4" t="str">
        <f t="shared" si="6"/>
        <v/>
      </c>
      <c r="V59" s="4" t="e">
        <f>IF($V$3=$M$3,M59,U59*(1+'Tenure Split (WALES)'!C$109)+(U$44*(-(50-$T59)*('Tenure Split (WALES)'!C$110/40))))</f>
        <v>#VALUE!</v>
      </c>
      <c r="W59" s="4" t="e">
        <f>V59*(1+'Tenure Split (WALES)'!D$109)+(V$44*(-(50-$T59)*('Tenure Split (WALES)'!D$110/40)))</f>
        <v>#VALUE!</v>
      </c>
      <c r="X59" s="4" t="e">
        <f>W59*(1+'Tenure Split (WALES)'!E$109)+(W$44*(-(50-$T59)*('Tenure Split (WALES)'!E$110/40)))</f>
        <v>#VALUE!</v>
      </c>
      <c r="Y59" s="4" t="e">
        <f>X59*(1+'Tenure Split (WALES)'!F$109)+(X$44*(-(50-$T59)*('Tenure Split (WALES)'!F$110/40)))</f>
        <v>#VALUE!</v>
      </c>
      <c r="Z59" s="4" t="e">
        <f>Y59*(1+'Tenure Split (WALES)'!G$109)+(Y$44*(-(50-$T59)*('Tenure Split (WALES)'!G$110/40)))</f>
        <v>#VALUE!</v>
      </c>
      <c r="AB59">
        <v>65</v>
      </c>
      <c r="AC59" s="4">
        <f>IF('Tenure Split (WALES)'!$D$8="WG Estimates",'Income (Wales)'!D59,'Income (Wales)'!V59)</f>
        <v>36603.644268360498</v>
      </c>
      <c r="AD59" s="4">
        <f>IF('Tenure Split (WALES)'!$D$8="WG Estimates",'Income (Wales)'!E59,'Income (Wales)'!W59)</f>
        <v>37645.054012689347</v>
      </c>
      <c r="AE59" s="4">
        <f>IF('Tenure Split (WALES)'!$D$8="WG Estimates",'Income (Wales)'!F59,'Income (Wales)'!X59)</f>
        <v>38982.789963356146</v>
      </c>
      <c r="AF59" s="4">
        <f>IF('Tenure Split (WALES)'!$D$8="WG Estimates",'Income (Wales)'!G59,'Income (Wales)'!Y59)</f>
        <v>40534.739048953124</v>
      </c>
      <c r="AG59" s="4">
        <f>IF('Tenure Split (WALES)'!$D$8="WG Estimates",'Income (Wales)'!H59,'Income (Wales)'!Z59)</f>
        <v>42187.760380151187</v>
      </c>
    </row>
    <row r="60" spans="2:33" x14ac:dyDescent="0.25">
      <c r="B60" s="20">
        <v>66</v>
      </c>
      <c r="C60" s="58">
        <v>35961</v>
      </c>
      <c r="D60" s="59">
        <f>C60*(1+'Tenure Split (WALES)'!C$109)+(C$44*(-(50-$B60)*('Tenure Split (WALES)'!C$110/40)))</f>
        <v>37336.522338500501</v>
      </c>
      <c r="E60" s="59">
        <f>D60*(1+'Tenure Split (WALES)'!D$109)+(D$44*(-(50-$B60)*('Tenure Split (WALES)'!D$110/40)))</f>
        <v>38403.461008608487</v>
      </c>
      <c r="F60" s="59">
        <f>E60*(1+'Tenure Split (WALES)'!E$109)+(E$44*(-(50-$B60)*('Tenure Split (WALES)'!E$110/40)))</f>
        <v>39772.932646660352</v>
      </c>
      <c r="G60" s="59">
        <f>F60*(1+'Tenure Split (WALES)'!F$109)+(F$44*(-(50-$B60)*('Tenure Split (WALES)'!F$110/40)))</f>
        <v>41361.267452951994</v>
      </c>
      <c r="H60" s="60">
        <f>G60*(1+'Tenure Split (WALES)'!G$109)+(G$44*(-(50-$B60)*('Tenure Split (WALES)'!G$110/40)))</f>
        <v>43053.093562740774</v>
      </c>
      <c r="L60" s="64" t="str">
        <f t="shared" si="4"/>
        <v/>
      </c>
      <c r="M60" s="251"/>
      <c r="N60" s="14">
        <f t="shared" si="3"/>
        <v>1</v>
      </c>
      <c r="T60" s="1">
        <f t="shared" si="5"/>
        <v>66</v>
      </c>
      <c r="U60" s="4" t="str">
        <f t="shared" si="6"/>
        <v/>
      </c>
      <c r="V60" s="4" t="e">
        <f>IF($V$3=$M$3,M60,U60*(1+'Tenure Split (WALES)'!C$109)+(U$44*(-(50-$T60)*('Tenure Split (WALES)'!C$110/40))))</f>
        <v>#VALUE!</v>
      </c>
      <c r="W60" s="4" t="e">
        <f>V60*(1+'Tenure Split (WALES)'!D$109)+(V$44*(-(50-$T60)*('Tenure Split (WALES)'!D$110/40)))</f>
        <v>#VALUE!</v>
      </c>
      <c r="X60" s="4" t="e">
        <f>W60*(1+'Tenure Split (WALES)'!E$109)+(W$44*(-(50-$T60)*('Tenure Split (WALES)'!E$110/40)))</f>
        <v>#VALUE!</v>
      </c>
      <c r="Y60" s="4" t="e">
        <f>X60*(1+'Tenure Split (WALES)'!F$109)+(X$44*(-(50-$T60)*('Tenure Split (WALES)'!F$110/40)))</f>
        <v>#VALUE!</v>
      </c>
      <c r="Z60" s="4" t="e">
        <f>Y60*(1+'Tenure Split (WALES)'!G$109)+(Y$44*(-(50-$T60)*('Tenure Split (WALES)'!G$110/40)))</f>
        <v>#VALUE!</v>
      </c>
      <c r="AB60">
        <v>66</v>
      </c>
      <c r="AC60" s="4">
        <f>IF('Tenure Split (WALES)'!$D$8="WG Estimates",'Income (Wales)'!D60,'Income (Wales)'!V60)</f>
        <v>37336.522338500501</v>
      </c>
      <c r="AD60" s="4">
        <f>IF('Tenure Split (WALES)'!$D$8="WG Estimates",'Income (Wales)'!E60,'Income (Wales)'!W60)</f>
        <v>38403.461008608487</v>
      </c>
      <c r="AE60" s="4">
        <f>IF('Tenure Split (WALES)'!$D$8="WG Estimates",'Income (Wales)'!F60,'Income (Wales)'!X60)</f>
        <v>39772.932646660352</v>
      </c>
      <c r="AF60" s="4">
        <f>IF('Tenure Split (WALES)'!$D$8="WG Estimates",'Income (Wales)'!G60,'Income (Wales)'!Y60)</f>
        <v>41361.267452951994</v>
      </c>
      <c r="AG60" s="4">
        <f>IF('Tenure Split (WALES)'!$D$8="WG Estimates",'Income (Wales)'!H60,'Income (Wales)'!Z60)</f>
        <v>43053.093562740774</v>
      </c>
    </row>
    <row r="61" spans="2:33" x14ac:dyDescent="0.25">
      <c r="B61" s="20">
        <v>67</v>
      </c>
      <c r="C61" s="58">
        <v>36697</v>
      </c>
      <c r="D61" s="59">
        <f>C61*(1+'Tenure Split (WALES)'!C$109)+(C$44*(-(50-$B61)*('Tenure Split (WALES)'!C$110/40)))</f>
        <v>38105.017389915884</v>
      </c>
      <c r="E61" s="59">
        <f>D61*(1+'Tenure Split (WALES)'!D$109)+(D$44*(-(50-$B61)*('Tenure Split (WALES)'!D$110/40)))</f>
        <v>39198.400740935438</v>
      </c>
      <c r="F61" s="59">
        <f>E61*(1+'Tenure Split (WALES)'!E$109)+(E$44*(-(50-$B61)*('Tenure Split (WALES)'!E$110/40)))</f>
        <v>40600.806450146731</v>
      </c>
      <c r="G61" s="59">
        <f>F61*(1+'Tenure Split (WALES)'!F$109)+(F$44*(-(50-$B61)*('Tenure Split (WALES)'!F$110/40)))</f>
        <v>42226.926267893083</v>
      </c>
      <c r="H61" s="60">
        <f>G61*(1+'Tenure Split (WALES)'!G$109)+(G$44*(-(50-$B61)*('Tenure Split (WALES)'!G$110/40)))</f>
        <v>43959.046546702499</v>
      </c>
      <c r="L61" s="64" t="str">
        <f t="shared" si="4"/>
        <v/>
      </c>
      <c r="M61" s="251"/>
      <c r="N61" s="14">
        <f t="shared" si="3"/>
        <v>1</v>
      </c>
      <c r="T61" s="1">
        <f t="shared" si="5"/>
        <v>67</v>
      </c>
      <c r="U61" s="4" t="str">
        <f t="shared" si="6"/>
        <v/>
      </c>
      <c r="V61" s="4" t="e">
        <f>IF($V$3=$M$3,M61,U61*(1+'Tenure Split (WALES)'!C$109)+(U$44*(-(50-$T61)*('Tenure Split (WALES)'!C$110/40))))</f>
        <v>#VALUE!</v>
      </c>
      <c r="W61" s="4" t="e">
        <f>V61*(1+'Tenure Split (WALES)'!D$109)+(V$44*(-(50-$T61)*('Tenure Split (WALES)'!D$110/40)))</f>
        <v>#VALUE!</v>
      </c>
      <c r="X61" s="4" t="e">
        <f>W61*(1+'Tenure Split (WALES)'!E$109)+(W$44*(-(50-$T61)*('Tenure Split (WALES)'!E$110/40)))</f>
        <v>#VALUE!</v>
      </c>
      <c r="Y61" s="4" t="e">
        <f>X61*(1+'Tenure Split (WALES)'!F$109)+(X$44*(-(50-$T61)*('Tenure Split (WALES)'!F$110/40)))</f>
        <v>#VALUE!</v>
      </c>
      <c r="Z61" s="4" t="e">
        <f>Y61*(1+'Tenure Split (WALES)'!G$109)+(Y$44*(-(50-$T61)*('Tenure Split (WALES)'!G$110/40)))</f>
        <v>#VALUE!</v>
      </c>
      <c r="AB61">
        <v>67</v>
      </c>
      <c r="AC61" s="4">
        <f>IF('Tenure Split (WALES)'!$D$8="WG Estimates",'Income (Wales)'!D61,'Income (Wales)'!V61)</f>
        <v>38105.017389915884</v>
      </c>
      <c r="AD61" s="4">
        <f>IF('Tenure Split (WALES)'!$D$8="WG Estimates",'Income (Wales)'!E61,'Income (Wales)'!W61)</f>
        <v>39198.400740935438</v>
      </c>
      <c r="AE61" s="4">
        <f>IF('Tenure Split (WALES)'!$D$8="WG Estimates",'Income (Wales)'!F61,'Income (Wales)'!X61)</f>
        <v>40600.806450146731</v>
      </c>
      <c r="AF61" s="4">
        <f>IF('Tenure Split (WALES)'!$D$8="WG Estimates",'Income (Wales)'!G61,'Income (Wales)'!Y61)</f>
        <v>42226.926267893083</v>
      </c>
      <c r="AG61" s="4">
        <f>IF('Tenure Split (WALES)'!$D$8="WG Estimates",'Income (Wales)'!H61,'Income (Wales)'!Z61)</f>
        <v>43959.046546702499</v>
      </c>
    </row>
    <row r="62" spans="2:33" x14ac:dyDescent="0.25">
      <c r="B62" s="20">
        <v>68</v>
      </c>
      <c r="C62" s="58">
        <v>37290.5</v>
      </c>
      <c r="D62" s="59">
        <f>C62*(1+'Tenure Split (WALES)'!C$109)+(C$44*(-(50-$B62)*('Tenure Split (WALES)'!C$110/40)))</f>
        <v>38725.971167152682</v>
      </c>
      <c r="E62" s="59">
        <f>D62*(1+'Tenure Split (WALES)'!D$109)+(D$44*(-(50-$B62)*('Tenure Split (WALES)'!D$110/40)))</f>
        <v>39842.005736689265</v>
      </c>
      <c r="F62" s="59">
        <f>E62*(1+'Tenure Split (WALES)'!E$109)+(E$44*(-(50-$B62)*('Tenure Split (WALES)'!E$110/40)))</f>
        <v>41272.381281948183</v>
      </c>
      <c r="G62" s="59">
        <f>F62*(1+'Tenure Split (WALES)'!F$109)+(F$44*(-(50-$B62)*('Tenure Split (WALES)'!F$110/40)))</f>
        <v>42930.489630529868</v>
      </c>
      <c r="H62" s="60">
        <f>G62*(1+'Tenure Split (WALES)'!G$109)+(G$44*(-(50-$B62)*('Tenure Split (WALES)'!G$110/40)))</f>
        <v>44696.734365096432</v>
      </c>
      <c r="L62" s="64" t="str">
        <f t="shared" si="4"/>
        <v/>
      </c>
      <c r="M62" s="251"/>
      <c r="N62" s="14">
        <f t="shared" si="3"/>
        <v>1</v>
      </c>
      <c r="T62" s="1">
        <f t="shared" si="5"/>
        <v>68</v>
      </c>
      <c r="U62" s="4" t="str">
        <f t="shared" si="6"/>
        <v/>
      </c>
      <c r="V62" s="4" t="e">
        <f>IF($V$3=$M$3,M62,U62*(1+'Tenure Split (WALES)'!C$109)+(U$44*(-(50-$T62)*('Tenure Split (WALES)'!C$110/40))))</f>
        <v>#VALUE!</v>
      </c>
      <c r="W62" s="4" t="e">
        <f>V62*(1+'Tenure Split (WALES)'!D$109)+(V$44*(-(50-$T62)*('Tenure Split (WALES)'!D$110/40)))</f>
        <v>#VALUE!</v>
      </c>
      <c r="X62" s="4" t="e">
        <f>W62*(1+'Tenure Split (WALES)'!E$109)+(W$44*(-(50-$T62)*('Tenure Split (WALES)'!E$110/40)))</f>
        <v>#VALUE!</v>
      </c>
      <c r="Y62" s="4" t="e">
        <f>X62*(1+'Tenure Split (WALES)'!F$109)+(X$44*(-(50-$T62)*('Tenure Split (WALES)'!F$110/40)))</f>
        <v>#VALUE!</v>
      </c>
      <c r="Z62" s="4" t="e">
        <f>Y62*(1+'Tenure Split (WALES)'!G$109)+(Y$44*(-(50-$T62)*('Tenure Split (WALES)'!G$110/40)))</f>
        <v>#VALUE!</v>
      </c>
      <c r="AB62">
        <v>68</v>
      </c>
      <c r="AC62" s="4">
        <f>IF('Tenure Split (WALES)'!$D$8="WG Estimates",'Income (Wales)'!D62,'Income (Wales)'!V62)</f>
        <v>38725.971167152682</v>
      </c>
      <c r="AD62" s="4">
        <f>IF('Tenure Split (WALES)'!$D$8="WG Estimates",'Income (Wales)'!E62,'Income (Wales)'!W62)</f>
        <v>39842.005736689265</v>
      </c>
      <c r="AE62" s="4">
        <f>IF('Tenure Split (WALES)'!$D$8="WG Estimates",'Income (Wales)'!F62,'Income (Wales)'!X62)</f>
        <v>41272.381281948183</v>
      </c>
      <c r="AF62" s="4">
        <f>IF('Tenure Split (WALES)'!$D$8="WG Estimates",'Income (Wales)'!G62,'Income (Wales)'!Y62)</f>
        <v>42930.489630529868</v>
      </c>
      <c r="AG62" s="4">
        <f>IF('Tenure Split (WALES)'!$D$8="WG Estimates",'Income (Wales)'!H62,'Income (Wales)'!Z62)</f>
        <v>44696.734365096432</v>
      </c>
    </row>
    <row r="63" spans="2:33" x14ac:dyDescent="0.25">
      <c r="B63" s="20">
        <v>69</v>
      </c>
      <c r="C63" s="58">
        <v>38123.5</v>
      </c>
      <c r="D63" s="59">
        <f>C63*(1+'Tenure Split (WALES)'!C$109)+(C$44*(-(50-$B63)*('Tenure Split (WALES)'!C$110/40)))</f>
        <v>39594.897822745785</v>
      </c>
      <c r="E63" s="59">
        <f>D63*(1+'Tenure Split (WALES)'!D$109)+(D$44*(-(50-$B63)*('Tenure Split (WALES)'!D$110/40)))</f>
        <v>40739.95928970111</v>
      </c>
      <c r="F63" s="59">
        <f>E63*(1+'Tenure Split (WALES)'!E$109)+(E$44*(-(50-$B63)*('Tenure Split (WALES)'!E$110/40)))</f>
        <v>42206.648069669238</v>
      </c>
      <c r="G63" s="59">
        <f>F63*(1+'Tenure Split (WALES)'!F$109)+(F$44*(-(50-$B63)*('Tenure Split (WALES)'!F$110/40)))</f>
        <v>43906.48710423251</v>
      </c>
      <c r="H63" s="60">
        <f>G63*(1+'Tenure Split (WALES)'!G$109)+(G$44*(-(50-$B63)*('Tenure Split (WALES)'!G$110/40)))</f>
        <v>45717.225742462237</v>
      </c>
      <c r="L63" s="64" t="str">
        <f t="shared" si="4"/>
        <v/>
      </c>
      <c r="M63" s="251"/>
      <c r="N63" s="14">
        <f t="shared" si="3"/>
        <v>1</v>
      </c>
      <c r="T63" s="1">
        <f t="shared" si="5"/>
        <v>69</v>
      </c>
      <c r="U63" s="4" t="str">
        <f t="shared" si="6"/>
        <v/>
      </c>
      <c r="V63" s="4" t="e">
        <f>IF($V$3=$M$3,M63,U63*(1+'Tenure Split (WALES)'!C$109)+(U$44*(-(50-$T63)*('Tenure Split (WALES)'!C$110/40))))</f>
        <v>#VALUE!</v>
      </c>
      <c r="W63" s="4" t="e">
        <f>V63*(1+'Tenure Split (WALES)'!D$109)+(V$44*(-(50-$T63)*('Tenure Split (WALES)'!D$110/40)))</f>
        <v>#VALUE!</v>
      </c>
      <c r="X63" s="4" t="e">
        <f>W63*(1+'Tenure Split (WALES)'!E$109)+(W$44*(-(50-$T63)*('Tenure Split (WALES)'!E$110/40)))</f>
        <v>#VALUE!</v>
      </c>
      <c r="Y63" s="4" t="e">
        <f>X63*(1+'Tenure Split (WALES)'!F$109)+(X$44*(-(50-$T63)*('Tenure Split (WALES)'!F$110/40)))</f>
        <v>#VALUE!</v>
      </c>
      <c r="Z63" s="4" t="e">
        <f>Y63*(1+'Tenure Split (WALES)'!G$109)+(Y$44*(-(50-$T63)*('Tenure Split (WALES)'!G$110/40)))</f>
        <v>#VALUE!</v>
      </c>
      <c r="AB63">
        <v>69</v>
      </c>
      <c r="AC63" s="4">
        <f>IF('Tenure Split (WALES)'!$D$8="WG Estimates",'Income (Wales)'!D63,'Income (Wales)'!V63)</f>
        <v>39594.897822745785</v>
      </c>
      <c r="AD63" s="4">
        <f>IF('Tenure Split (WALES)'!$D$8="WG Estimates",'Income (Wales)'!E63,'Income (Wales)'!W63)</f>
        <v>40739.95928970111</v>
      </c>
      <c r="AE63" s="4">
        <f>IF('Tenure Split (WALES)'!$D$8="WG Estimates",'Income (Wales)'!F63,'Income (Wales)'!X63)</f>
        <v>42206.648069669238</v>
      </c>
      <c r="AF63" s="4">
        <f>IF('Tenure Split (WALES)'!$D$8="WG Estimates",'Income (Wales)'!G63,'Income (Wales)'!Y63)</f>
        <v>43906.48710423251</v>
      </c>
      <c r="AG63" s="4">
        <f>IF('Tenure Split (WALES)'!$D$8="WG Estimates",'Income (Wales)'!H63,'Income (Wales)'!Z63)</f>
        <v>45717.225742462237</v>
      </c>
    </row>
    <row r="64" spans="2:33" x14ac:dyDescent="0.25">
      <c r="B64" s="20">
        <v>70</v>
      </c>
      <c r="C64" s="58">
        <v>38942</v>
      </c>
      <c r="D64" s="59">
        <f>C64*(1+'Tenure Split (WALES)'!C$109)+(C$44*(-(50-$B64)*('Tenure Split (WALES)'!C$110/40)))</f>
        <v>40448.811506580358</v>
      </c>
      <c r="E64" s="59">
        <f>D64*(1+'Tenure Split (WALES)'!D$109)+(D$44*(-(50-$B64)*('Tenure Split (WALES)'!D$110/40)))</f>
        <v>41622.513869517774</v>
      </c>
      <c r="F64" s="59">
        <f>E64*(1+'Tenure Split (WALES)'!E$109)+(E$44*(-(50-$B64)*('Tenure Split (WALES)'!E$110/40)))</f>
        <v>43125.010751499525</v>
      </c>
      <c r="G64" s="59">
        <f>F64*(1+'Tenure Split (WALES)'!F$109)+(F$44*(-(50-$B64)*('Tenure Split (WALES)'!F$110/40)))</f>
        <v>44865.990654718204</v>
      </c>
      <c r="H64" s="60">
        <f>G64*(1+'Tenure Split (WALES)'!G$109)+(G$44*(-(50-$B64)*('Tenure Split (WALES)'!G$110/40)))</f>
        <v>46720.59540122639</v>
      </c>
      <c r="L64" s="64" t="str">
        <f t="shared" si="4"/>
        <v/>
      </c>
      <c r="M64" s="251"/>
      <c r="N64" s="14">
        <f t="shared" si="3"/>
        <v>1</v>
      </c>
      <c r="T64" s="1">
        <f t="shared" si="5"/>
        <v>70</v>
      </c>
      <c r="U64" s="4" t="str">
        <f t="shared" si="6"/>
        <v/>
      </c>
      <c r="V64" s="4" t="e">
        <f>IF($V$3=$M$3,M64,U64*(1+'Tenure Split (WALES)'!C$109)+(U$44*(-(50-$T64)*('Tenure Split (WALES)'!C$110/40))))</f>
        <v>#VALUE!</v>
      </c>
      <c r="W64" s="4" t="e">
        <f>V64*(1+'Tenure Split (WALES)'!D$109)+(V$44*(-(50-$T64)*('Tenure Split (WALES)'!D$110/40)))</f>
        <v>#VALUE!</v>
      </c>
      <c r="X64" s="4" t="e">
        <f>W64*(1+'Tenure Split (WALES)'!E$109)+(W$44*(-(50-$T64)*('Tenure Split (WALES)'!E$110/40)))</f>
        <v>#VALUE!</v>
      </c>
      <c r="Y64" s="4" t="e">
        <f>X64*(1+'Tenure Split (WALES)'!F$109)+(X$44*(-(50-$T64)*('Tenure Split (WALES)'!F$110/40)))</f>
        <v>#VALUE!</v>
      </c>
      <c r="Z64" s="4" t="e">
        <f>Y64*(1+'Tenure Split (WALES)'!G$109)+(Y$44*(-(50-$T64)*('Tenure Split (WALES)'!G$110/40)))</f>
        <v>#VALUE!</v>
      </c>
      <c r="AB64">
        <v>70</v>
      </c>
      <c r="AC64" s="4">
        <f>IF('Tenure Split (WALES)'!$D$8="WG Estimates",'Income (Wales)'!D64,'Income (Wales)'!V64)</f>
        <v>40448.811506580358</v>
      </c>
      <c r="AD64" s="4">
        <f>IF('Tenure Split (WALES)'!$D$8="WG Estimates",'Income (Wales)'!E64,'Income (Wales)'!W64)</f>
        <v>41622.513869517774</v>
      </c>
      <c r="AE64" s="4">
        <f>IF('Tenure Split (WALES)'!$D$8="WG Estimates",'Income (Wales)'!F64,'Income (Wales)'!X64)</f>
        <v>43125.010751499525</v>
      </c>
      <c r="AF64" s="4">
        <f>IF('Tenure Split (WALES)'!$D$8="WG Estimates",'Income (Wales)'!G64,'Income (Wales)'!Y64)</f>
        <v>44865.990654718204</v>
      </c>
      <c r="AG64" s="4">
        <f>IF('Tenure Split (WALES)'!$D$8="WG Estimates",'Income (Wales)'!H64,'Income (Wales)'!Z64)</f>
        <v>46720.59540122639</v>
      </c>
    </row>
    <row r="65" spans="2:33" x14ac:dyDescent="0.25">
      <c r="B65" s="20">
        <v>71</v>
      </c>
      <c r="C65" s="58">
        <v>39814.080000000002</v>
      </c>
      <c r="D65" s="59">
        <f>C65*(1+'Tenure Split (WALES)'!C$109)+(C$44*(-(50-$B65)*('Tenure Split (WALES)'!C$110/40)))</f>
        <v>41358.200709506084</v>
      </c>
      <c r="E65" s="59">
        <f>D65*(1+'Tenure Split (WALES)'!D$109)+(D$44*(-(50-$B65)*('Tenure Split (WALES)'!D$110/40)))</f>
        <v>42561.970310285942</v>
      </c>
      <c r="F65" s="59">
        <f>E65*(1+'Tenure Split (WALES)'!E$109)+(E$44*(-(50-$B65)*('Tenure Split (WALES)'!E$110/40)))</f>
        <v>44102.141846683357</v>
      </c>
      <c r="G65" s="59">
        <f>F65*(1+'Tenure Split (WALES)'!F$109)+(F$44*(-(50-$B65)*('Tenure Split (WALES)'!F$110/40)))</f>
        <v>45886.442095270344</v>
      </c>
      <c r="H65" s="60">
        <f>G65*(1+'Tenure Split (WALES)'!G$109)+(G$44*(-(50-$B65)*('Tenure Split (WALES)'!G$110/40)))</f>
        <v>47787.232762244072</v>
      </c>
      <c r="L65" s="64" t="str">
        <f t="shared" si="4"/>
        <v/>
      </c>
      <c r="M65" s="251"/>
      <c r="N65" s="14">
        <f t="shared" si="3"/>
        <v>1</v>
      </c>
      <c r="T65" s="1">
        <f t="shared" si="5"/>
        <v>71</v>
      </c>
      <c r="U65" s="4" t="str">
        <f t="shared" si="6"/>
        <v/>
      </c>
      <c r="V65" s="4" t="e">
        <f>IF($V$3=$M$3,M65,U65*(1+'Tenure Split (WALES)'!C$109)+(U$44*(-(50-$T65)*('Tenure Split (WALES)'!C$110/40))))</f>
        <v>#VALUE!</v>
      </c>
      <c r="W65" s="4" t="e">
        <f>V65*(1+'Tenure Split (WALES)'!D$109)+(V$44*(-(50-$T65)*('Tenure Split (WALES)'!D$110/40)))</f>
        <v>#VALUE!</v>
      </c>
      <c r="X65" s="4" t="e">
        <f>W65*(1+'Tenure Split (WALES)'!E$109)+(W$44*(-(50-$T65)*('Tenure Split (WALES)'!E$110/40)))</f>
        <v>#VALUE!</v>
      </c>
      <c r="Y65" s="4" t="e">
        <f>X65*(1+'Tenure Split (WALES)'!F$109)+(X$44*(-(50-$T65)*('Tenure Split (WALES)'!F$110/40)))</f>
        <v>#VALUE!</v>
      </c>
      <c r="Z65" s="4" t="e">
        <f>Y65*(1+'Tenure Split (WALES)'!G$109)+(Y$44*(-(50-$T65)*('Tenure Split (WALES)'!G$110/40)))</f>
        <v>#VALUE!</v>
      </c>
      <c r="AB65">
        <v>71</v>
      </c>
      <c r="AC65" s="4">
        <f>IF('Tenure Split (WALES)'!$D$8="WG Estimates",'Income (Wales)'!D65,'Income (Wales)'!V65)</f>
        <v>41358.200709506084</v>
      </c>
      <c r="AD65" s="4">
        <f>IF('Tenure Split (WALES)'!$D$8="WG Estimates",'Income (Wales)'!E65,'Income (Wales)'!W65)</f>
        <v>42561.970310285942</v>
      </c>
      <c r="AE65" s="4">
        <f>IF('Tenure Split (WALES)'!$D$8="WG Estimates",'Income (Wales)'!F65,'Income (Wales)'!X65)</f>
        <v>44102.141846683357</v>
      </c>
      <c r="AF65" s="4">
        <f>IF('Tenure Split (WALES)'!$D$8="WG Estimates",'Income (Wales)'!G65,'Income (Wales)'!Y65)</f>
        <v>45886.442095270344</v>
      </c>
      <c r="AG65" s="4">
        <f>IF('Tenure Split (WALES)'!$D$8="WG Estimates",'Income (Wales)'!H65,'Income (Wales)'!Z65)</f>
        <v>47787.232762244072</v>
      </c>
    </row>
    <row r="66" spans="2:33" x14ac:dyDescent="0.25">
      <c r="B66" s="20">
        <v>72</v>
      </c>
      <c r="C66" s="58">
        <v>40759.32</v>
      </c>
      <c r="D66" s="59">
        <f>C66*(1+'Tenure Split (WALES)'!C$109)+(C$44*(-(50-$B66)*('Tenure Split (WALES)'!C$110/40)))</f>
        <v>42343.338120283785</v>
      </c>
      <c r="E66" s="59">
        <f>D66*(1+'Tenure Split (WALES)'!D$109)+(D$44*(-(50-$B66)*('Tenure Split (WALES)'!D$110/40)))</f>
        <v>43579.122535809845</v>
      </c>
      <c r="F66" s="59">
        <f>E66*(1+'Tenure Split (WALES)'!E$109)+(E$44*(-(50-$B66)*('Tenure Split (WALES)'!E$110/40)))</f>
        <v>45159.517382347687</v>
      </c>
      <c r="G66" s="59">
        <f>F66*(1+'Tenure Split (WALES)'!F$109)+(F$44*(-(50-$B66)*('Tenure Split (WALES)'!F$110/40)))</f>
        <v>46990.113909791486</v>
      </c>
      <c r="H66" s="60">
        <f>G66*(1+'Tenure Split (WALES)'!G$109)+(G$44*(-(50-$B66)*('Tenure Split (WALES)'!G$110/40)))</f>
        <v>48940.258049668351</v>
      </c>
      <c r="L66" s="64" t="str">
        <f t="shared" si="4"/>
        <v/>
      </c>
      <c r="M66" s="251"/>
      <c r="N66" s="14">
        <f t="shared" si="3"/>
        <v>1</v>
      </c>
      <c r="T66" s="1">
        <f t="shared" si="5"/>
        <v>72</v>
      </c>
      <c r="U66" s="4" t="str">
        <f t="shared" si="6"/>
        <v/>
      </c>
      <c r="V66" s="4" t="e">
        <f>IF($V$3=$M$3,M66,U66*(1+'Tenure Split (WALES)'!C$109)+(U$44*(-(50-$T66)*('Tenure Split (WALES)'!C$110/40))))</f>
        <v>#VALUE!</v>
      </c>
      <c r="W66" s="4" t="e">
        <f>V66*(1+'Tenure Split (WALES)'!D$109)+(V$44*(-(50-$T66)*('Tenure Split (WALES)'!D$110/40)))</f>
        <v>#VALUE!</v>
      </c>
      <c r="X66" s="4" t="e">
        <f>W66*(1+'Tenure Split (WALES)'!E$109)+(W$44*(-(50-$T66)*('Tenure Split (WALES)'!E$110/40)))</f>
        <v>#VALUE!</v>
      </c>
      <c r="Y66" s="4" t="e">
        <f>X66*(1+'Tenure Split (WALES)'!F$109)+(X$44*(-(50-$T66)*('Tenure Split (WALES)'!F$110/40)))</f>
        <v>#VALUE!</v>
      </c>
      <c r="Z66" s="4" t="e">
        <f>Y66*(1+'Tenure Split (WALES)'!G$109)+(Y$44*(-(50-$T66)*('Tenure Split (WALES)'!G$110/40)))</f>
        <v>#VALUE!</v>
      </c>
      <c r="AB66">
        <v>72</v>
      </c>
      <c r="AC66" s="4">
        <f>IF('Tenure Split (WALES)'!$D$8="WG Estimates",'Income (Wales)'!D66,'Income (Wales)'!V66)</f>
        <v>42343.338120283785</v>
      </c>
      <c r="AD66" s="4">
        <f>IF('Tenure Split (WALES)'!$D$8="WG Estimates",'Income (Wales)'!E66,'Income (Wales)'!W66)</f>
        <v>43579.122535809845</v>
      </c>
      <c r="AE66" s="4">
        <f>IF('Tenure Split (WALES)'!$D$8="WG Estimates",'Income (Wales)'!F66,'Income (Wales)'!X66)</f>
        <v>45159.517382347687</v>
      </c>
      <c r="AF66" s="4">
        <f>IF('Tenure Split (WALES)'!$D$8="WG Estimates",'Income (Wales)'!G66,'Income (Wales)'!Y66)</f>
        <v>46990.113909791486</v>
      </c>
      <c r="AG66" s="4">
        <f>IF('Tenure Split (WALES)'!$D$8="WG Estimates",'Income (Wales)'!H66,'Income (Wales)'!Z66)</f>
        <v>48940.258049668351</v>
      </c>
    </row>
    <row r="67" spans="2:33" x14ac:dyDescent="0.25">
      <c r="B67" s="20">
        <v>73</v>
      </c>
      <c r="C67" s="58">
        <v>41915.300000000003</v>
      </c>
      <c r="D67" s="59">
        <f>C67*(1+'Tenure Split (WALES)'!C$109)+(C$44*(-(50-$B67)*('Tenure Split (WALES)'!C$110/40)))</f>
        <v>43546.670956467766</v>
      </c>
      <c r="E67" s="59">
        <f>D67*(1+'Tenure Split (WALES)'!D$109)+(D$44*(-(50-$B67)*('Tenure Split (WALES)'!D$110/40)))</f>
        <v>44820.080251757739</v>
      </c>
      <c r="F67" s="59">
        <f>E67*(1+'Tenure Split (WALES)'!E$109)+(E$44*(-(50-$B67)*('Tenure Split (WALES)'!E$110/40)))</f>
        <v>46448.039902523458</v>
      </c>
      <c r="G67" s="59">
        <f>F67*(1+'Tenure Split (WALES)'!F$109)+(F$44*(-(50-$B67)*('Tenure Split (WALES)'!F$110/40)))</f>
        <v>48333.504991811657</v>
      </c>
      <c r="H67" s="60">
        <f>G67*(1+'Tenure Split (WALES)'!G$109)+(G$44*(-(50-$B67)*('Tenure Split (WALES)'!G$110/40)))</f>
        <v>50342.126852824294</v>
      </c>
      <c r="L67" s="64" t="str">
        <f t="shared" si="4"/>
        <v/>
      </c>
      <c r="M67" s="251"/>
      <c r="N67" s="14">
        <f t="shared" si="3"/>
        <v>1</v>
      </c>
      <c r="T67" s="1">
        <f t="shared" si="5"/>
        <v>73</v>
      </c>
      <c r="U67" s="4" t="str">
        <f t="shared" si="6"/>
        <v/>
      </c>
      <c r="V67" s="4" t="e">
        <f>IF($V$3=$M$3,M67,U67*(1+'Tenure Split (WALES)'!C$109)+(U$44*(-(50-$T67)*('Tenure Split (WALES)'!C$110/40))))</f>
        <v>#VALUE!</v>
      </c>
      <c r="W67" s="4" t="e">
        <f>V67*(1+'Tenure Split (WALES)'!D$109)+(V$44*(-(50-$T67)*('Tenure Split (WALES)'!D$110/40)))</f>
        <v>#VALUE!</v>
      </c>
      <c r="X67" s="4" t="e">
        <f>W67*(1+'Tenure Split (WALES)'!E$109)+(W$44*(-(50-$T67)*('Tenure Split (WALES)'!E$110/40)))</f>
        <v>#VALUE!</v>
      </c>
      <c r="Y67" s="4" t="e">
        <f>X67*(1+'Tenure Split (WALES)'!F$109)+(X$44*(-(50-$T67)*('Tenure Split (WALES)'!F$110/40)))</f>
        <v>#VALUE!</v>
      </c>
      <c r="Z67" s="4" t="e">
        <f>Y67*(1+'Tenure Split (WALES)'!G$109)+(Y$44*(-(50-$T67)*('Tenure Split (WALES)'!G$110/40)))</f>
        <v>#VALUE!</v>
      </c>
      <c r="AB67">
        <v>73</v>
      </c>
      <c r="AC67" s="4">
        <f>IF('Tenure Split (WALES)'!$D$8="WG Estimates",'Income (Wales)'!D67,'Income (Wales)'!V67)</f>
        <v>43546.670956467766</v>
      </c>
      <c r="AD67" s="4">
        <f>IF('Tenure Split (WALES)'!$D$8="WG Estimates",'Income (Wales)'!E67,'Income (Wales)'!W67)</f>
        <v>44820.080251757739</v>
      </c>
      <c r="AE67" s="4">
        <f>IF('Tenure Split (WALES)'!$D$8="WG Estimates",'Income (Wales)'!F67,'Income (Wales)'!X67)</f>
        <v>46448.039902523458</v>
      </c>
      <c r="AF67" s="4">
        <f>IF('Tenure Split (WALES)'!$D$8="WG Estimates",'Income (Wales)'!G67,'Income (Wales)'!Y67)</f>
        <v>48333.504991811657</v>
      </c>
      <c r="AG67" s="4">
        <f>IF('Tenure Split (WALES)'!$D$8="WG Estimates",'Income (Wales)'!H67,'Income (Wales)'!Z67)</f>
        <v>50342.126852824294</v>
      </c>
    </row>
    <row r="68" spans="2:33" x14ac:dyDescent="0.25">
      <c r="B68" s="20">
        <v>74</v>
      </c>
      <c r="C68" s="58">
        <v>42877</v>
      </c>
      <c r="D68" s="59">
        <f>C68*(1+'Tenure Split (WALES)'!C$109)+(C$44*(-(50-$B68)*('Tenure Split (WALES)'!C$110/40)))</f>
        <v>44548.850678634793</v>
      </c>
      <c r="E68" s="59">
        <f>D68*(1+'Tenure Split (WALES)'!D$109)+(D$44*(-(50-$B68)*('Tenure Split (WALES)'!D$110/40)))</f>
        <v>45854.71296685352</v>
      </c>
      <c r="F68" s="59">
        <f>E68*(1+'Tenure Split (WALES)'!E$109)+(E$44*(-(50-$B68)*('Tenure Split (WALES)'!E$110/40)))</f>
        <v>47523.469340461001</v>
      </c>
      <c r="G68" s="59">
        <f>F68*(1+'Tenure Split (WALES)'!F$109)+(F$44*(-(50-$B68)*('Tenure Split (WALES)'!F$110/40)))</f>
        <v>49455.900252963875</v>
      </c>
      <c r="H68" s="60">
        <f>G68*(1+'Tenure Split (WALES)'!G$109)+(G$44*(-(50-$B68)*('Tenure Split (WALES)'!G$110/40)))</f>
        <v>51514.58824288188</v>
      </c>
      <c r="L68" s="64" t="str">
        <f t="shared" ref="L68:L84" si="7">IF(ISBLANK($K$4),"",B68)</f>
        <v/>
      </c>
      <c r="M68" s="251"/>
      <c r="N68" s="14">
        <f t="shared" si="3"/>
        <v>1</v>
      </c>
      <c r="T68" s="1">
        <f t="shared" ref="T68:T84" si="8">B68</f>
        <v>74</v>
      </c>
      <c r="U68" s="4" t="str">
        <f t="shared" ref="U68:U84" si="9">IF($M$3=$U$3,M68,"")</f>
        <v/>
      </c>
      <c r="V68" s="4" t="e">
        <f>IF($V$3=$M$3,M68,U68*(1+'Tenure Split (WALES)'!C$109)+(U$44*(-(50-$T68)*('Tenure Split (WALES)'!C$110/40))))</f>
        <v>#VALUE!</v>
      </c>
      <c r="W68" s="4" t="e">
        <f>V68*(1+'Tenure Split (WALES)'!D$109)+(V$44*(-(50-$T68)*('Tenure Split (WALES)'!D$110/40)))</f>
        <v>#VALUE!</v>
      </c>
      <c r="X68" s="4" t="e">
        <f>W68*(1+'Tenure Split (WALES)'!E$109)+(W$44*(-(50-$T68)*('Tenure Split (WALES)'!E$110/40)))</f>
        <v>#VALUE!</v>
      </c>
      <c r="Y68" s="4" t="e">
        <f>X68*(1+'Tenure Split (WALES)'!F$109)+(X$44*(-(50-$T68)*('Tenure Split (WALES)'!F$110/40)))</f>
        <v>#VALUE!</v>
      </c>
      <c r="Z68" s="4" t="e">
        <f>Y68*(1+'Tenure Split (WALES)'!G$109)+(Y$44*(-(50-$T68)*('Tenure Split (WALES)'!G$110/40)))</f>
        <v>#VALUE!</v>
      </c>
      <c r="AB68">
        <v>74</v>
      </c>
      <c r="AC68" s="4">
        <f>IF('Tenure Split (WALES)'!$D$8="WG Estimates",'Income (Wales)'!D68,'Income (Wales)'!V68)</f>
        <v>44548.850678634793</v>
      </c>
      <c r="AD68" s="4">
        <f>IF('Tenure Split (WALES)'!$D$8="WG Estimates",'Income (Wales)'!E68,'Income (Wales)'!W68)</f>
        <v>45854.71296685352</v>
      </c>
      <c r="AE68" s="4">
        <f>IF('Tenure Split (WALES)'!$D$8="WG Estimates",'Income (Wales)'!F68,'Income (Wales)'!X68)</f>
        <v>47523.469340461001</v>
      </c>
      <c r="AF68" s="4">
        <f>IF('Tenure Split (WALES)'!$D$8="WG Estimates",'Income (Wales)'!G68,'Income (Wales)'!Y68)</f>
        <v>49455.900252963875</v>
      </c>
      <c r="AG68" s="4">
        <f>IF('Tenure Split (WALES)'!$D$8="WG Estimates",'Income (Wales)'!H68,'Income (Wales)'!Z68)</f>
        <v>51514.58824288188</v>
      </c>
    </row>
    <row r="69" spans="2:33" x14ac:dyDescent="0.25">
      <c r="B69" s="20">
        <v>75</v>
      </c>
      <c r="C69" s="58">
        <v>44124.6</v>
      </c>
      <c r="D69" s="59">
        <f>C69*(1+'Tenure Split (WALES)'!C$109)+(C$44*(-(50-$B69)*('Tenure Split (WALES)'!C$110/40)))</f>
        <v>45847.044788785395</v>
      </c>
      <c r="E69" s="59">
        <f>D69*(1+'Tenure Split (WALES)'!D$109)+(D$44*(-(50-$B69)*('Tenure Split (WALES)'!D$110/40)))</f>
        <v>47192.970953431824</v>
      </c>
      <c r="F69" s="59">
        <f>E69*(1+'Tenure Split (WALES)'!E$109)+(E$44*(-(50-$B69)*('Tenure Split (WALES)'!E$110/40)))</f>
        <v>48912.483873168538</v>
      </c>
      <c r="G69" s="59">
        <f>F69*(1+'Tenure Split (WALES)'!F$109)+(F$44*(-(50-$B69)*('Tenure Split (WALES)'!F$110/40)))</f>
        <v>50903.510179476136</v>
      </c>
      <c r="H69" s="60">
        <f>G69*(1+'Tenure Split (WALES)'!G$109)+(G$44*(-(50-$B69)*('Tenure Split (WALES)'!G$110/40)))</f>
        <v>53024.642691436595</v>
      </c>
      <c r="L69" s="64" t="str">
        <f t="shared" si="7"/>
        <v/>
      </c>
      <c r="M69" s="251"/>
      <c r="N69" s="14">
        <f t="shared" ref="N69:N84" si="10">IF(ISBLANK(M69),1,0)</f>
        <v>1</v>
      </c>
      <c r="T69" s="1">
        <f t="shared" si="8"/>
        <v>75</v>
      </c>
      <c r="U69" s="4" t="str">
        <f t="shared" si="9"/>
        <v/>
      </c>
      <c r="V69" s="4" t="e">
        <f>IF($V$3=$M$3,M69,U69*(1+'Tenure Split (WALES)'!C$109)+(U$44*(-(50-$T69)*('Tenure Split (WALES)'!C$110/40))))</f>
        <v>#VALUE!</v>
      </c>
      <c r="W69" s="4" t="e">
        <f>V69*(1+'Tenure Split (WALES)'!D$109)+(V$44*(-(50-$T69)*('Tenure Split (WALES)'!D$110/40)))</f>
        <v>#VALUE!</v>
      </c>
      <c r="X69" s="4" t="e">
        <f>W69*(1+'Tenure Split (WALES)'!E$109)+(W$44*(-(50-$T69)*('Tenure Split (WALES)'!E$110/40)))</f>
        <v>#VALUE!</v>
      </c>
      <c r="Y69" s="4" t="e">
        <f>X69*(1+'Tenure Split (WALES)'!F$109)+(X$44*(-(50-$T69)*('Tenure Split (WALES)'!F$110/40)))</f>
        <v>#VALUE!</v>
      </c>
      <c r="Z69" s="4" t="e">
        <f>Y69*(1+'Tenure Split (WALES)'!G$109)+(Y$44*(-(50-$T69)*('Tenure Split (WALES)'!G$110/40)))</f>
        <v>#VALUE!</v>
      </c>
      <c r="AB69">
        <v>75</v>
      </c>
      <c r="AC69" s="4">
        <f>IF('Tenure Split (WALES)'!$D$8="WG Estimates",'Income (Wales)'!D69,'Income (Wales)'!V69)</f>
        <v>45847.044788785395</v>
      </c>
      <c r="AD69" s="4">
        <f>IF('Tenure Split (WALES)'!$D$8="WG Estimates",'Income (Wales)'!E69,'Income (Wales)'!W69)</f>
        <v>47192.970953431824</v>
      </c>
      <c r="AE69" s="4">
        <f>IF('Tenure Split (WALES)'!$D$8="WG Estimates",'Income (Wales)'!F69,'Income (Wales)'!X69)</f>
        <v>48912.483873168538</v>
      </c>
      <c r="AF69" s="4">
        <f>IF('Tenure Split (WALES)'!$D$8="WG Estimates",'Income (Wales)'!G69,'Income (Wales)'!Y69)</f>
        <v>50903.510179476136</v>
      </c>
      <c r="AG69" s="4">
        <f>IF('Tenure Split (WALES)'!$D$8="WG Estimates",'Income (Wales)'!H69,'Income (Wales)'!Z69)</f>
        <v>53024.642691436595</v>
      </c>
    </row>
    <row r="70" spans="2:33" x14ac:dyDescent="0.25">
      <c r="B70" s="20">
        <v>76</v>
      </c>
      <c r="C70" s="58">
        <v>45242</v>
      </c>
      <c r="D70" s="59">
        <f>C70*(1+'Tenure Split (WALES)'!C$109)+(C$44*(-(50-$B70)*('Tenure Split (WALES)'!C$110/40)))</f>
        <v>47010.432766318074</v>
      </c>
      <c r="E70" s="59">
        <f>D70*(1+'Tenure Split (WALES)'!D$109)+(D$44*(-(50-$B70)*('Tenure Split (WALES)'!D$110/40)))</f>
        <v>48392.956780699074</v>
      </c>
      <c r="F70" s="59">
        <f>E70*(1+'Tenure Split (WALES)'!E$109)+(E$44*(-(50-$B70)*('Tenure Split (WALES)'!E$110/40)))</f>
        <v>50158.690503326026</v>
      </c>
      <c r="G70" s="59">
        <f>F70*(1+'Tenure Split (WALES)'!F$109)+(F$44*(-(50-$B70)*('Tenure Split (WALES)'!F$110/40)))</f>
        <v>52203.016050619801</v>
      </c>
      <c r="H70" s="60">
        <f>G70*(1+'Tenure Split (WALES)'!G$109)+(G$44*(-(50-$B70)*('Tenure Split (WALES)'!G$110/40)))</f>
        <v>54380.955915030383</v>
      </c>
      <c r="L70" s="64" t="str">
        <f t="shared" si="7"/>
        <v/>
      </c>
      <c r="M70" s="251"/>
      <c r="N70" s="14">
        <f t="shared" si="10"/>
        <v>1</v>
      </c>
      <c r="T70" s="1">
        <f t="shared" si="8"/>
        <v>76</v>
      </c>
      <c r="U70" s="4" t="str">
        <f t="shared" si="9"/>
        <v/>
      </c>
      <c r="V70" s="4" t="e">
        <f>IF($V$3=$M$3,M70,U70*(1+'Tenure Split (WALES)'!C$109)+(U$44*(-(50-$T70)*('Tenure Split (WALES)'!C$110/40))))</f>
        <v>#VALUE!</v>
      </c>
      <c r="W70" s="4" t="e">
        <f>V70*(1+'Tenure Split (WALES)'!D$109)+(V$44*(-(50-$T70)*('Tenure Split (WALES)'!D$110/40)))</f>
        <v>#VALUE!</v>
      </c>
      <c r="X70" s="4" t="e">
        <f>W70*(1+'Tenure Split (WALES)'!E$109)+(W$44*(-(50-$T70)*('Tenure Split (WALES)'!E$110/40)))</f>
        <v>#VALUE!</v>
      </c>
      <c r="Y70" s="4" t="e">
        <f>X70*(1+'Tenure Split (WALES)'!F$109)+(X$44*(-(50-$T70)*('Tenure Split (WALES)'!F$110/40)))</f>
        <v>#VALUE!</v>
      </c>
      <c r="Z70" s="4" t="e">
        <f>Y70*(1+'Tenure Split (WALES)'!G$109)+(Y$44*(-(50-$T70)*('Tenure Split (WALES)'!G$110/40)))</f>
        <v>#VALUE!</v>
      </c>
      <c r="AB70">
        <v>76</v>
      </c>
      <c r="AC70" s="4">
        <f>IF('Tenure Split (WALES)'!$D$8="WG Estimates",'Income (Wales)'!D70,'Income (Wales)'!V70)</f>
        <v>47010.432766318074</v>
      </c>
      <c r="AD70" s="4">
        <f>IF('Tenure Split (WALES)'!$D$8="WG Estimates",'Income (Wales)'!E70,'Income (Wales)'!W70)</f>
        <v>48392.956780699074</v>
      </c>
      <c r="AE70" s="4">
        <f>IF('Tenure Split (WALES)'!$D$8="WG Estimates",'Income (Wales)'!F70,'Income (Wales)'!X70)</f>
        <v>50158.690503326026</v>
      </c>
      <c r="AF70" s="4">
        <f>IF('Tenure Split (WALES)'!$D$8="WG Estimates",'Income (Wales)'!G70,'Income (Wales)'!Y70)</f>
        <v>52203.016050619801</v>
      </c>
      <c r="AG70" s="4">
        <f>IF('Tenure Split (WALES)'!$D$8="WG Estimates",'Income (Wales)'!H70,'Income (Wales)'!Z70)</f>
        <v>54380.955915030383</v>
      </c>
    </row>
    <row r="71" spans="2:33" x14ac:dyDescent="0.25">
      <c r="B71" s="20">
        <v>77</v>
      </c>
      <c r="C71" s="58">
        <v>46154.5</v>
      </c>
      <c r="D71" s="59">
        <f>C71*(1+'Tenure Split (WALES)'!C$109)+(C$44*(-(50-$B71)*('Tenure Split (WALES)'!C$110/40)))</f>
        <v>47961.671922242393</v>
      </c>
      <c r="E71" s="59">
        <f>D71*(1+'Tenure Split (WALES)'!D$109)+(D$44*(-(50-$B71)*('Tenure Split (WALES)'!D$110/40)))</f>
        <v>49375.339186746452</v>
      </c>
      <c r="F71" s="59">
        <f>E71*(1+'Tenure Split (WALES)'!E$109)+(E$44*(-(50-$B71)*('Tenure Split (WALES)'!E$110/40)))</f>
        <v>51180.155664723934</v>
      </c>
      <c r="G71" s="59">
        <f>F71*(1+'Tenure Split (WALES)'!F$109)+(F$44*(-(50-$B71)*('Tenure Split (WALES)'!F$110/40)))</f>
        <v>53269.445724029065</v>
      </c>
      <c r="H71" s="60">
        <f>G71*(1+'Tenure Split (WALES)'!G$109)+(G$44*(-(50-$B71)*('Tenure Split (WALES)'!G$110/40)))</f>
        <v>55495.321542660349</v>
      </c>
      <c r="L71" s="64" t="str">
        <f t="shared" si="7"/>
        <v/>
      </c>
      <c r="M71" s="251"/>
      <c r="N71" s="14">
        <f t="shared" si="10"/>
        <v>1</v>
      </c>
      <c r="T71" s="1">
        <f t="shared" si="8"/>
        <v>77</v>
      </c>
      <c r="U71" s="4" t="str">
        <f t="shared" si="9"/>
        <v/>
      </c>
      <c r="V71" s="4" t="e">
        <f>IF($V$3=$M$3,M71,U71*(1+'Tenure Split (WALES)'!C$109)+(U$44*(-(50-$T71)*('Tenure Split (WALES)'!C$110/40))))</f>
        <v>#VALUE!</v>
      </c>
      <c r="W71" s="4" t="e">
        <f>V71*(1+'Tenure Split (WALES)'!D$109)+(V$44*(-(50-$T71)*('Tenure Split (WALES)'!D$110/40)))</f>
        <v>#VALUE!</v>
      </c>
      <c r="X71" s="4" t="e">
        <f>W71*(1+'Tenure Split (WALES)'!E$109)+(W$44*(-(50-$T71)*('Tenure Split (WALES)'!E$110/40)))</f>
        <v>#VALUE!</v>
      </c>
      <c r="Y71" s="4" t="e">
        <f>X71*(1+'Tenure Split (WALES)'!F$109)+(X$44*(-(50-$T71)*('Tenure Split (WALES)'!F$110/40)))</f>
        <v>#VALUE!</v>
      </c>
      <c r="Z71" s="4" t="e">
        <f>Y71*(1+'Tenure Split (WALES)'!G$109)+(Y$44*(-(50-$T71)*('Tenure Split (WALES)'!G$110/40)))</f>
        <v>#VALUE!</v>
      </c>
      <c r="AB71">
        <v>77</v>
      </c>
      <c r="AC71" s="4">
        <f>IF('Tenure Split (WALES)'!$D$8="WG Estimates",'Income (Wales)'!D71,'Income (Wales)'!V71)</f>
        <v>47961.671922242393</v>
      </c>
      <c r="AD71" s="4">
        <f>IF('Tenure Split (WALES)'!$D$8="WG Estimates",'Income (Wales)'!E71,'Income (Wales)'!W71)</f>
        <v>49375.339186746452</v>
      </c>
      <c r="AE71" s="4">
        <f>IF('Tenure Split (WALES)'!$D$8="WG Estimates",'Income (Wales)'!F71,'Income (Wales)'!X71)</f>
        <v>51180.155664723934</v>
      </c>
      <c r="AF71" s="4">
        <f>IF('Tenure Split (WALES)'!$D$8="WG Estimates",'Income (Wales)'!G71,'Income (Wales)'!Y71)</f>
        <v>53269.445724029065</v>
      </c>
      <c r="AG71" s="4">
        <f>IF('Tenure Split (WALES)'!$D$8="WG Estimates",'Income (Wales)'!H71,'Income (Wales)'!Z71)</f>
        <v>55495.321542660349</v>
      </c>
    </row>
    <row r="72" spans="2:33" x14ac:dyDescent="0.25">
      <c r="B72" s="20">
        <v>78</v>
      </c>
      <c r="C72" s="58">
        <v>47437.7</v>
      </c>
      <c r="D72" s="59">
        <f>C72*(1+'Tenure Split (WALES)'!C$109)+(C$44*(-(50-$B72)*('Tenure Split (WALES)'!C$110/40)))</f>
        <v>49296.725466503573</v>
      </c>
      <c r="E72" s="59">
        <f>D72*(1+'Tenure Split (WALES)'!D$109)+(D$44*(-(50-$B72)*('Tenure Split (WALES)'!D$110/40)))</f>
        <v>50751.404307514247</v>
      </c>
      <c r="F72" s="59">
        <f>E72*(1+'Tenure Split (WALES)'!E$109)+(E$44*(-(50-$B72)*('Tenure Split (WALES)'!E$110/40)))</f>
        <v>52608.217519480473</v>
      </c>
      <c r="G72" s="59">
        <f>F72*(1+'Tenure Split (WALES)'!F$109)+(F$44*(-(50-$B72)*('Tenure Split (WALES)'!F$110/40)))</f>
        <v>54757.551075818752</v>
      </c>
      <c r="H72" s="60">
        <f>G72*(1+'Tenure Split (WALES)'!G$109)+(G$44*(-(50-$B72)*('Tenure Split (WALES)'!G$110/40)))</f>
        <v>57047.412762402535</v>
      </c>
      <c r="L72" s="64" t="str">
        <f t="shared" si="7"/>
        <v/>
      </c>
      <c r="M72" s="251"/>
      <c r="N72" s="14">
        <f t="shared" si="10"/>
        <v>1</v>
      </c>
      <c r="T72" s="1">
        <f t="shared" si="8"/>
        <v>78</v>
      </c>
      <c r="U72" s="4" t="str">
        <f t="shared" si="9"/>
        <v/>
      </c>
      <c r="V72" s="4" t="e">
        <f>IF($V$3=$M$3,M72,U72*(1+'Tenure Split (WALES)'!C$109)+(U$44*(-(50-$T72)*('Tenure Split (WALES)'!C$110/40))))</f>
        <v>#VALUE!</v>
      </c>
      <c r="W72" s="4" t="e">
        <f>V72*(1+'Tenure Split (WALES)'!D$109)+(V$44*(-(50-$T72)*('Tenure Split (WALES)'!D$110/40)))</f>
        <v>#VALUE!</v>
      </c>
      <c r="X72" s="4" t="e">
        <f>W72*(1+'Tenure Split (WALES)'!E$109)+(W$44*(-(50-$T72)*('Tenure Split (WALES)'!E$110/40)))</f>
        <v>#VALUE!</v>
      </c>
      <c r="Y72" s="4" t="e">
        <f>X72*(1+'Tenure Split (WALES)'!F$109)+(X$44*(-(50-$T72)*('Tenure Split (WALES)'!F$110/40)))</f>
        <v>#VALUE!</v>
      </c>
      <c r="Z72" s="4" t="e">
        <f>Y72*(1+'Tenure Split (WALES)'!G$109)+(Y$44*(-(50-$T72)*('Tenure Split (WALES)'!G$110/40)))</f>
        <v>#VALUE!</v>
      </c>
      <c r="AB72">
        <v>78</v>
      </c>
      <c r="AC72" s="4">
        <f>IF('Tenure Split (WALES)'!$D$8="WG Estimates",'Income (Wales)'!D72,'Income (Wales)'!V72)</f>
        <v>49296.725466503573</v>
      </c>
      <c r="AD72" s="4">
        <f>IF('Tenure Split (WALES)'!$D$8="WG Estimates",'Income (Wales)'!E72,'Income (Wales)'!W72)</f>
        <v>50751.404307514247</v>
      </c>
      <c r="AE72" s="4">
        <f>IF('Tenure Split (WALES)'!$D$8="WG Estimates",'Income (Wales)'!F72,'Income (Wales)'!X72)</f>
        <v>52608.217519480473</v>
      </c>
      <c r="AF72" s="4">
        <f>IF('Tenure Split (WALES)'!$D$8="WG Estimates",'Income (Wales)'!G72,'Income (Wales)'!Y72)</f>
        <v>54757.551075818752</v>
      </c>
      <c r="AG72" s="4">
        <f>IF('Tenure Split (WALES)'!$D$8="WG Estimates",'Income (Wales)'!H72,'Income (Wales)'!Z72)</f>
        <v>57047.412762402535</v>
      </c>
    </row>
    <row r="73" spans="2:33" x14ac:dyDescent="0.25">
      <c r="B73" s="20">
        <v>79</v>
      </c>
      <c r="C73" s="58">
        <v>48662.37</v>
      </c>
      <c r="D73" s="59">
        <f>C73*(1+'Tenure Split (WALES)'!C$109)+(C$44*(-(50-$B73)*('Tenure Split (WALES)'!C$110/40)))</f>
        <v>50571.17837372845</v>
      </c>
      <c r="E73" s="59">
        <f>D73*(1+'Tenure Split (WALES)'!D$109)+(D$44*(-(50-$B73)*('Tenure Split (WALES)'!D$110/40)))</f>
        <v>52065.310676481153</v>
      </c>
      <c r="F73" s="59">
        <f>E73*(1+'Tenure Split (WALES)'!E$109)+(E$44*(-(50-$B73)*('Tenure Split (WALES)'!E$110/40)))</f>
        <v>53972.08162818283</v>
      </c>
      <c r="G73" s="59">
        <f>F73*(1+'Tenure Split (WALES)'!F$109)+(F$44*(-(50-$B73)*('Tenure Split (WALES)'!F$110/40)))</f>
        <v>56179.077853409333</v>
      </c>
      <c r="H73" s="60">
        <f>G73*(1+'Tenure Split (WALES)'!G$109)+(G$44*(-(50-$B73)*('Tenure Split (WALES)'!G$110/40)))</f>
        <v>58530.391279403069</v>
      </c>
      <c r="L73" s="64" t="str">
        <f t="shared" si="7"/>
        <v/>
      </c>
      <c r="M73" s="251"/>
      <c r="N73" s="14">
        <f t="shared" si="10"/>
        <v>1</v>
      </c>
      <c r="T73" s="1">
        <f t="shared" si="8"/>
        <v>79</v>
      </c>
      <c r="U73" s="4" t="str">
        <f t="shared" si="9"/>
        <v/>
      </c>
      <c r="V73" s="4" t="e">
        <f>IF($V$3=$M$3,M73,U73*(1+'Tenure Split (WALES)'!C$109)+(U$44*(-(50-$T73)*('Tenure Split (WALES)'!C$110/40))))</f>
        <v>#VALUE!</v>
      </c>
      <c r="W73" s="4" t="e">
        <f>V73*(1+'Tenure Split (WALES)'!D$109)+(V$44*(-(50-$T73)*('Tenure Split (WALES)'!D$110/40)))</f>
        <v>#VALUE!</v>
      </c>
      <c r="X73" s="4" t="e">
        <f>W73*(1+'Tenure Split (WALES)'!E$109)+(W$44*(-(50-$T73)*('Tenure Split (WALES)'!E$110/40)))</f>
        <v>#VALUE!</v>
      </c>
      <c r="Y73" s="4" t="e">
        <f>X73*(1+'Tenure Split (WALES)'!F$109)+(X$44*(-(50-$T73)*('Tenure Split (WALES)'!F$110/40)))</f>
        <v>#VALUE!</v>
      </c>
      <c r="Z73" s="4" t="e">
        <f>Y73*(1+'Tenure Split (WALES)'!G$109)+(Y$44*(-(50-$T73)*('Tenure Split (WALES)'!G$110/40)))</f>
        <v>#VALUE!</v>
      </c>
      <c r="AB73">
        <v>79</v>
      </c>
      <c r="AC73" s="4">
        <f>IF('Tenure Split (WALES)'!$D$8="WG Estimates",'Income (Wales)'!D73,'Income (Wales)'!V73)</f>
        <v>50571.17837372845</v>
      </c>
      <c r="AD73" s="4">
        <f>IF('Tenure Split (WALES)'!$D$8="WG Estimates",'Income (Wales)'!E73,'Income (Wales)'!W73)</f>
        <v>52065.310676481153</v>
      </c>
      <c r="AE73" s="4">
        <f>IF('Tenure Split (WALES)'!$D$8="WG Estimates",'Income (Wales)'!F73,'Income (Wales)'!X73)</f>
        <v>53972.08162818283</v>
      </c>
      <c r="AF73" s="4">
        <f>IF('Tenure Split (WALES)'!$D$8="WG Estimates",'Income (Wales)'!G73,'Income (Wales)'!Y73)</f>
        <v>56179.077853409333</v>
      </c>
      <c r="AG73" s="4">
        <f>IF('Tenure Split (WALES)'!$D$8="WG Estimates",'Income (Wales)'!H73,'Income (Wales)'!Z73)</f>
        <v>58530.391279403069</v>
      </c>
    </row>
    <row r="74" spans="2:33" x14ac:dyDescent="0.25">
      <c r="B74" s="20">
        <v>80</v>
      </c>
      <c r="C74" s="58">
        <v>49919.75</v>
      </c>
      <c r="D74" s="59">
        <f>C74*(1+'Tenure Split (WALES)'!C$109)+(C$44*(-(50-$B74)*('Tenure Split (WALES)'!C$110/40)))</f>
        <v>51879.498474485838</v>
      </c>
      <c r="E74" s="59">
        <f>D74*(1+'Tenure Split (WALES)'!D$109)+(D$44*(-(50-$B74)*('Tenure Split (WALES)'!D$110/40)))</f>
        <v>53413.95500498006</v>
      </c>
      <c r="F74" s="59">
        <f>E74*(1+'Tenure Split (WALES)'!E$109)+(E$44*(-(50-$B74)*('Tenure Split (WALES)'!E$110/40)))</f>
        <v>55371.823206104957</v>
      </c>
      <c r="G74" s="59">
        <f>F74*(1+'Tenure Split (WALES)'!F$109)+(F$44*(-(50-$B74)*('Tenure Split (WALES)'!F$110/40)))</f>
        <v>57637.812646753431</v>
      </c>
      <c r="H74" s="60">
        <f>G74*(1+'Tenure Split (WALES)'!G$109)+(G$44*(-(50-$B74)*('Tenure Split (WALES)'!G$110/40)))</f>
        <v>60051.994031952549</v>
      </c>
      <c r="L74" s="64" t="str">
        <f t="shared" si="7"/>
        <v/>
      </c>
      <c r="M74" s="251"/>
      <c r="N74" s="14">
        <f t="shared" si="10"/>
        <v>1</v>
      </c>
      <c r="T74" s="1">
        <f t="shared" si="8"/>
        <v>80</v>
      </c>
      <c r="U74" s="4" t="str">
        <f t="shared" si="9"/>
        <v/>
      </c>
      <c r="V74" s="4" t="e">
        <f>IF($V$3=$M$3,M74,U74*(1+'Tenure Split (WALES)'!C$109)+(U$44*(-(50-$T74)*('Tenure Split (WALES)'!C$110/40))))</f>
        <v>#VALUE!</v>
      </c>
      <c r="W74" s="4" t="e">
        <f>V74*(1+'Tenure Split (WALES)'!D$109)+(V$44*(-(50-$T74)*('Tenure Split (WALES)'!D$110/40)))</f>
        <v>#VALUE!</v>
      </c>
      <c r="X74" s="4" t="e">
        <f>W74*(1+'Tenure Split (WALES)'!E$109)+(W$44*(-(50-$T74)*('Tenure Split (WALES)'!E$110/40)))</f>
        <v>#VALUE!</v>
      </c>
      <c r="Y74" s="4" t="e">
        <f>X74*(1+'Tenure Split (WALES)'!F$109)+(X$44*(-(50-$T74)*('Tenure Split (WALES)'!F$110/40)))</f>
        <v>#VALUE!</v>
      </c>
      <c r="Z74" s="4" t="e">
        <f>Y74*(1+'Tenure Split (WALES)'!G$109)+(Y$44*(-(50-$T74)*('Tenure Split (WALES)'!G$110/40)))</f>
        <v>#VALUE!</v>
      </c>
      <c r="AB74">
        <v>80</v>
      </c>
      <c r="AC74" s="4">
        <f>IF('Tenure Split (WALES)'!$D$8="WG Estimates",'Income (Wales)'!D74,'Income (Wales)'!V74)</f>
        <v>51879.498474485838</v>
      </c>
      <c r="AD74" s="4">
        <f>IF('Tenure Split (WALES)'!$D$8="WG Estimates",'Income (Wales)'!E74,'Income (Wales)'!W74)</f>
        <v>53413.95500498006</v>
      </c>
      <c r="AE74" s="4">
        <f>IF('Tenure Split (WALES)'!$D$8="WG Estimates",'Income (Wales)'!F74,'Income (Wales)'!X74)</f>
        <v>55371.823206104957</v>
      </c>
      <c r="AF74" s="4">
        <f>IF('Tenure Split (WALES)'!$D$8="WG Estimates",'Income (Wales)'!G74,'Income (Wales)'!Y74)</f>
        <v>57637.812646753431</v>
      </c>
      <c r="AG74" s="4">
        <f>IF('Tenure Split (WALES)'!$D$8="WG Estimates",'Income (Wales)'!H74,'Income (Wales)'!Z74)</f>
        <v>60051.994031952549</v>
      </c>
    </row>
    <row r="75" spans="2:33" x14ac:dyDescent="0.25">
      <c r="B75" s="20">
        <v>81</v>
      </c>
      <c r="C75" s="58">
        <v>51071</v>
      </c>
      <c r="D75" s="59">
        <f>C75*(1+'Tenure Split (WALES)'!C$109)+(C$44*(-(50-$B75)*('Tenure Split (WALES)'!C$110/40)))</f>
        <v>53077.933975744454</v>
      </c>
      <c r="E75" s="59">
        <f>D75*(1+'Tenure Split (WALES)'!D$109)+(D$44*(-(50-$B75)*('Tenure Split (WALES)'!D$110/40)))</f>
        <v>54649.889469671885</v>
      </c>
      <c r="F75" s="59">
        <f>E75*(1+'Tenure Split (WALES)'!E$109)+(E$44*(-(50-$B75)*('Tenure Split (WALES)'!E$110/40)))</f>
        <v>56655.15769725568</v>
      </c>
      <c r="G75" s="59">
        <f>F75*(1+'Tenure Split (WALES)'!F$109)+(F$44*(-(50-$B75)*('Tenure Split (WALES)'!F$110/40)))</f>
        <v>58975.823297269031</v>
      </c>
      <c r="H75" s="60">
        <f>G75*(1+'Tenure Split (WALES)'!G$109)+(G$44*(-(50-$B75)*('Tenure Split (WALES)'!G$110/40)))</f>
        <v>61448.277612419806</v>
      </c>
      <c r="L75" s="64" t="str">
        <f t="shared" si="7"/>
        <v/>
      </c>
      <c r="M75" s="251"/>
      <c r="N75" s="14">
        <f t="shared" si="10"/>
        <v>1</v>
      </c>
      <c r="T75" s="1">
        <f t="shared" si="8"/>
        <v>81</v>
      </c>
      <c r="U75" s="4" t="str">
        <f t="shared" si="9"/>
        <v/>
      </c>
      <c r="V75" s="4" t="e">
        <f>IF($V$3=$M$3,M75,U75*(1+'Tenure Split (WALES)'!C$109)+(U$44*(-(50-$T75)*('Tenure Split (WALES)'!C$110/40))))</f>
        <v>#VALUE!</v>
      </c>
      <c r="W75" s="4" t="e">
        <f>V75*(1+'Tenure Split (WALES)'!D$109)+(V$44*(-(50-$T75)*('Tenure Split (WALES)'!D$110/40)))</f>
        <v>#VALUE!</v>
      </c>
      <c r="X75" s="4" t="e">
        <f>W75*(1+'Tenure Split (WALES)'!E$109)+(W$44*(-(50-$T75)*('Tenure Split (WALES)'!E$110/40)))</f>
        <v>#VALUE!</v>
      </c>
      <c r="Y75" s="4" t="e">
        <f>X75*(1+'Tenure Split (WALES)'!F$109)+(X$44*(-(50-$T75)*('Tenure Split (WALES)'!F$110/40)))</f>
        <v>#VALUE!</v>
      </c>
      <c r="Z75" s="4" t="e">
        <f>Y75*(1+'Tenure Split (WALES)'!G$109)+(Y$44*(-(50-$T75)*('Tenure Split (WALES)'!G$110/40)))</f>
        <v>#VALUE!</v>
      </c>
      <c r="AB75">
        <v>81</v>
      </c>
      <c r="AC75" s="4">
        <f>IF('Tenure Split (WALES)'!$D$8="WG Estimates",'Income (Wales)'!D75,'Income (Wales)'!V75)</f>
        <v>53077.933975744454</v>
      </c>
      <c r="AD75" s="4">
        <f>IF('Tenure Split (WALES)'!$D$8="WG Estimates",'Income (Wales)'!E75,'Income (Wales)'!W75)</f>
        <v>54649.889469671885</v>
      </c>
      <c r="AE75" s="4">
        <f>IF('Tenure Split (WALES)'!$D$8="WG Estimates",'Income (Wales)'!F75,'Income (Wales)'!X75)</f>
        <v>56655.15769725568</v>
      </c>
      <c r="AF75" s="4">
        <f>IF('Tenure Split (WALES)'!$D$8="WG Estimates",'Income (Wales)'!G75,'Income (Wales)'!Y75)</f>
        <v>58975.823297269031</v>
      </c>
      <c r="AG75" s="4">
        <f>IF('Tenure Split (WALES)'!$D$8="WG Estimates",'Income (Wales)'!H75,'Income (Wales)'!Z75)</f>
        <v>61448.277612419806</v>
      </c>
    </row>
    <row r="76" spans="2:33" x14ac:dyDescent="0.25">
      <c r="B76" s="20">
        <v>82</v>
      </c>
      <c r="C76" s="58">
        <v>52464.21</v>
      </c>
      <c r="D76" s="59">
        <f>C76*(1+'Tenure Split (WALES)'!C$109)+(C$44*(-(50-$B76)*('Tenure Split (WALES)'!C$110/40)))</f>
        <v>54526.889383671507</v>
      </c>
      <c r="E76" s="59">
        <f>D76*(1+'Tenure Split (WALES)'!D$109)+(D$44*(-(50-$B76)*('Tenure Split (WALES)'!D$110/40)))</f>
        <v>56142.785007074141</v>
      </c>
      <c r="F76" s="59">
        <f>E76*(1+'Tenure Split (WALES)'!E$109)+(E$44*(-(50-$B76)*('Tenure Split (WALES)'!E$110/40)))</f>
        <v>58203.882358152987</v>
      </c>
      <c r="G76" s="59">
        <f>F76*(1+'Tenure Split (WALES)'!F$109)+(F$44*(-(50-$B76)*('Tenure Split (WALES)'!F$110/40)))</f>
        <v>60589.066338237659</v>
      </c>
      <c r="H76" s="60">
        <f>G76*(1+'Tenure Split (WALES)'!G$109)+(G$44*(-(50-$B76)*('Tenure Split (WALES)'!G$110/40)))</f>
        <v>63130.269539980356</v>
      </c>
      <c r="L76" s="64" t="str">
        <f t="shared" si="7"/>
        <v/>
      </c>
      <c r="M76" s="251"/>
      <c r="N76" s="14">
        <f t="shared" si="10"/>
        <v>1</v>
      </c>
      <c r="T76" s="1">
        <f t="shared" si="8"/>
        <v>82</v>
      </c>
      <c r="U76" s="4" t="str">
        <f t="shared" si="9"/>
        <v/>
      </c>
      <c r="V76" s="4" t="e">
        <f>IF($V$3=$M$3,M76,U76*(1+'Tenure Split (WALES)'!C$109)+(U$44*(-(50-$T76)*('Tenure Split (WALES)'!C$110/40))))</f>
        <v>#VALUE!</v>
      </c>
      <c r="W76" s="4" t="e">
        <f>V76*(1+'Tenure Split (WALES)'!D$109)+(V$44*(-(50-$T76)*('Tenure Split (WALES)'!D$110/40)))</f>
        <v>#VALUE!</v>
      </c>
      <c r="X76" s="4" t="e">
        <f>W76*(1+'Tenure Split (WALES)'!E$109)+(W$44*(-(50-$T76)*('Tenure Split (WALES)'!E$110/40)))</f>
        <v>#VALUE!</v>
      </c>
      <c r="Y76" s="4" t="e">
        <f>X76*(1+'Tenure Split (WALES)'!F$109)+(X$44*(-(50-$T76)*('Tenure Split (WALES)'!F$110/40)))</f>
        <v>#VALUE!</v>
      </c>
      <c r="Z76" s="4" t="e">
        <f>Y76*(1+'Tenure Split (WALES)'!G$109)+(Y$44*(-(50-$T76)*('Tenure Split (WALES)'!G$110/40)))</f>
        <v>#VALUE!</v>
      </c>
      <c r="AB76">
        <v>82</v>
      </c>
      <c r="AC76" s="4">
        <f>IF('Tenure Split (WALES)'!$D$8="WG Estimates",'Income (Wales)'!D76,'Income (Wales)'!V76)</f>
        <v>54526.889383671507</v>
      </c>
      <c r="AD76" s="4">
        <f>IF('Tenure Split (WALES)'!$D$8="WG Estimates",'Income (Wales)'!E76,'Income (Wales)'!W76)</f>
        <v>56142.785007074141</v>
      </c>
      <c r="AE76" s="4">
        <f>IF('Tenure Split (WALES)'!$D$8="WG Estimates",'Income (Wales)'!F76,'Income (Wales)'!X76)</f>
        <v>58203.882358152987</v>
      </c>
      <c r="AF76" s="4">
        <f>IF('Tenure Split (WALES)'!$D$8="WG Estimates",'Income (Wales)'!G76,'Income (Wales)'!Y76)</f>
        <v>60589.066338237659</v>
      </c>
      <c r="AG76" s="4">
        <f>IF('Tenure Split (WALES)'!$D$8="WG Estimates",'Income (Wales)'!H76,'Income (Wales)'!Z76)</f>
        <v>63130.269539980356</v>
      </c>
    </row>
    <row r="77" spans="2:33" x14ac:dyDescent="0.25">
      <c r="B77" s="20">
        <v>83</v>
      </c>
      <c r="C77" s="58">
        <v>53747.05</v>
      </c>
      <c r="D77" s="59">
        <f>C77*(1+'Tenure Split (WALES)'!C$109)+(C$44*(-(50-$B77)*('Tenure Split (WALES)'!C$110/40)))</f>
        <v>55861.570192082138</v>
      </c>
      <c r="E77" s="59">
        <f>D77*(1+'Tenure Split (WALES)'!D$109)+(D$44*(-(50-$B77)*('Tenure Split (WALES)'!D$110/40)))</f>
        <v>57518.467808507441</v>
      </c>
      <c r="F77" s="59">
        <f>E77*(1+'Tenure Split (WALES)'!E$109)+(E$44*(-(50-$B77)*('Tenure Split (WALES)'!E$110/40)))</f>
        <v>59631.549352349481</v>
      </c>
      <c r="G77" s="59">
        <f>F77*(1+'Tenure Split (WALES)'!F$109)+(F$44*(-(50-$B77)*('Tenure Split (WALES)'!F$110/40)))</f>
        <v>62076.762185726788</v>
      </c>
      <c r="H77" s="60">
        <f>G77*(1+'Tenure Split (WALES)'!G$109)+(G$44*(-(50-$B77)*('Tenure Split (WALES)'!G$110/40)))</f>
        <v>64681.935668777951</v>
      </c>
      <c r="L77" s="64" t="str">
        <f t="shared" si="7"/>
        <v/>
      </c>
      <c r="M77" s="251"/>
      <c r="N77" s="14">
        <f t="shared" si="10"/>
        <v>1</v>
      </c>
      <c r="T77" s="1">
        <f t="shared" si="8"/>
        <v>83</v>
      </c>
      <c r="U77" s="4" t="str">
        <f t="shared" si="9"/>
        <v/>
      </c>
      <c r="V77" s="4" t="e">
        <f>IF($V$3=$M$3,M77,U77*(1+'Tenure Split (WALES)'!C$109)+(U$44*(-(50-$T77)*('Tenure Split (WALES)'!C$110/40))))</f>
        <v>#VALUE!</v>
      </c>
      <c r="W77" s="4" t="e">
        <f>V77*(1+'Tenure Split (WALES)'!D$109)+(V$44*(-(50-$T77)*('Tenure Split (WALES)'!D$110/40)))</f>
        <v>#VALUE!</v>
      </c>
      <c r="X77" s="4" t="e">
        <f>W77*(1+'Tenure Split (WALES)'!E$109)+(W$44*(-(50-$T77)*('Tenure Split (WALES)'!E$110/40)))</f>
        <v>#VALUE!</v>
      </c>
      <c r="Y77" s="4" t="e">
        <f>X77*(1+'Tenure Split (WALES)'!F$109)+(X$44*(-(50-$T77)*('Tenure Split (WALES)'!F$110/40)))</f>
        <v>#VALUE!</v>
      </c>
      <c r="Z77" s="4" t="e">
        <f>Y77*(1+'Tenure Split (WALES)'!G$109)+(Y$44*(-(50-$T77)*('Tenure Split (WALES)'!G$110/40)))</f>
        <v>#VALUE!</v>
      </c>
      <c r="AB77">
        <v>83</v>
      </c>
      <c r="AC77" s="4">
        <f>IF('Tenure Split (WALES)'!$D$8="WG Estimates",'Income (Wales)'!D77,'Income (Wales)'!V77)</f>
        <v>55861.570192082138</v>
      </c>
      <c r="AD77" s="4">
        <f>IF('Tenure Split (WALES)'!$D$8="WG Estimates",'Income (Wales)'!E77,'Income (Wales)'!W77)</f>
        <v>57518.467808507441</v>
      </c>
      <c r="AE77" s="4">
        <f>IF('Tenure Split (WALES)'!$D$8="WG Estimates",'Income (Wales)'!F77,'Income (Wales)'!X77)</f>
        <v>59631.549352349481</v>
      </c>
      <c r="AF77" s="4">
        <f>IF('Tenure Split (WALES)'!$D$8="WG Estimates",'Income (Wales)'!G77,'Income (Wales)'!Y77)</f>
        <v>62076.762185726788</v>
      </c>
      <c r="AG77" s="4">
        <f>IF('Tenure Split (WALES)'!$D$8="WG Estimates",'Income (Wales)'!H77,'Income (Wales)'!Z77)</f>
        <v>64681.935668777951</v>
      </c>
    </row>
    <row r="78" spans="2:33" x14ac:dyDescent="0.25">
      <c r="B78" s="20">
        <v>84</v>
      </c>
      <c r="C78" s="58">
        <v>55276</v>
      </c>
      <c r="D78" s="59">
        <f>C78*(1+'Tenure Split (WALES)'!C$109)+(C$44*(-(50-$B78)*('Tenure Split (WALES)'!C$110/40)))</f>
        <v>57451.06772321622</v>
      </c>
      <c r="E78" s="59">
        <f>D78*(1+'Tenure Split (WALES)'!D$109)+(D$44*(-(50-$B78)*('Tenure Split (WALES)'!D$110/40)))</f>
        <v>59155.51897497943</v>
      </c>
      <c r="F78" s="59">
        <f>E78*(1+'Tenure Split (WALES)'!E$109)+(E$44*(-(50-$B78)*('Tenure Split (WALES)'!E$110/40)))</f>
        <v>61329.158381081965</v>
      </c>
      <c r="G78" s="59">
        <f>F78*(1+'Tenure Split (WALES)'!F$109)+(F$44*(-(50-$B78)*('Tenure Split (WALES)'!F$110/40)))</f>
        <v>63844.411098244804</v>
      </c>
      <c r="H78" s="60">
        <f>G78*(1+'Tenure Split (WALES)'!G$109)+(G$44*(-(50-$B78)*('Tenure Split (WALES)'!G$110/40)))</f>
        <v>66524.210498613422</v>
      </c>
      <c r="L78" s="64" t="str">
        <f t="shared" si="7"/>
        <v/>
      </c>
      <c r="M78" s="251"/>
      <c r="N78" s="14">
        <f t="shared" si="10"/>
        <v>1</v>
      </c>
      <c r="T78" s="1">
        <f t="shared" si="8"/>
        <v>84</v>
      </c>
      <c r="U78" s="4" t="str">
        <f t="shared" si="9"/>
        <v/>
      </c>
      <c r="V78" s="4" t="e">
        <f>IF($V$3=$M$3,M78,U78*(1+'Tenure Split (WALES)'!C$109)+(U$44*(-(50-$T78)*('Tenure Split (WALES)'!C$110/40))))</f>
        <v>#VALUE!</v>
      </c>
      <c r="W78" s="4" t="e">
        <f>V78*(1+'Tenure Split (WALES)'!D$109)+(V$44*(-(50-$T78)*('Tenure Split (WALES)'!D$110/40)))</f>
        <v>#VALUE!</v>
      </c>
      <c r="X78" s="4" t="e">
        <f>W78*(1+'Tenure Split (WALES)'!E$109)+(W$44*(-(50-$T78)*('Tenure Split (WALES)'!E$110/40)))</f>
        <v>#VALUE!</v>
      </c>
      <c r="Y78" s="4" t="e">
        <f>X78*(1+'Tenure Split (WALES)'!F$109)+(X$44*(-(50-$T78)*('Tenure Split (WALES)'!F$110/40)))</f>
        <v>#VALUE!</v>
      </c>
      <c r="Z78" s="4" t="e">
        <f>Y78*(1+'Tenure Split (WALES)'!G$109)+(Y$44*(-(50-$T78)*('Tenure Split (WALES)'!G$110/40)))</f>
        <v>#VALUE!</v>
      </c>
      <c r="AB78">
        <v>84</v>
      </c>
      <c r="AC78" s="4">
        <f>IF('Tenure Split (WALES)'!$D$8="WG Estimates",'Income (Wales)'!D78,'Income (Wales)'!V78)</f>
        <v>57451.06772321622</v>
      </c>
      <c r="AD78" s="4">
        <f>IF('Tenure Split (WALES)'!$D$8="WG Estimates",'Income (Wales)'!E78,'Income (Wales)'!W78)</f>
        <v>59155.51897497943</v>
      </c>
      <c r="AE78" s="4">
        <f>IF('Tenure Split (WALES)'!$D$8="WG Estimates",'Income (Wales)'!F78,'Income (Wales)'!X78)</f>
        <v>61329.158381081965</v>
      </c>
      <c r="AF78" s="4">
        <f>IF('Tenure Split (WALES)'!$D$8="WG Estimates",'Income (Wales)'!G78,'Income (Wales)'!Y78)</f>
        <v>63844.411098244804</v>
      </c>
      <c r="AG78" s="4">
        <f>IF('Tenure Split (WALES)'!$D$8="WG Estimates",'Income (Wales)'!H78,'Income (Wales)'!Z78)</f>
        <v>66524.210498613422</v>
      </c>
    </row>
    <row r="79" spans="2:33" x14ac:dyDescent="0.25">
      <c r="B79" s="20">
        <v>85</v>
      </c>
      <c r="C79" s="58">
        <v>56795.5</v>
      </c>
      <c r="D79" s="59">
        <f>C79*(1+'Tenure Split (WALES)'!C$109)+(C$44*(-(50-$B79)*('Tenure Split (WALES)'!C$110/40)))</f>
        <v>59030.780938273194</v>
      </c>
      <c r="E79" s="59">
        <f>D79*(1+'Tenure Split (WALES)'!D$109)+(D$44*(-(50-$B79)*('Tenure Split (WALES)'!D$110/40)))</f>
        <v>60782.534258920772</v>
      </c>
      <c r="F79" s="59">
        <f>E79*(1+'Tenure Split (WALES)'!E$109)+(E$44*(-(50-$B79)*('Tenure Split (WALES)'!E$110/40)))</f>
        <v>63016.40232011323</v>
      </c>
      <c r="G79" s="59">
        <f>F79*(1+'Tenure Split (WALES)'!F$109)+(F$44*(-(50-$B79)*('Tenure Split (WALES)'!F$110/40)))</f>
        <v>65601.310522873144</v>
      </c>
      <c r="H79" s="60">
        <f>G79*(1+'Tenure Split (WALES)'!G$109)+(G$44*(-(50-$B79)*('Tenure Split (WALES)'!G$110/40)))</f>
        <v>68355.326691153314</v>
      </c>
      <c r="L79" s="64" t="str">
        <f t="shared" si="7"/>
        <v/>
      </c>
      <c r="M79" s="251"/>
      <c r="N79" s="14">
        <f t="shared" si="10"/>
        <v>1</v>
      </c>
      <c r="T79" s="1">
        <f t="shared" si="8"/>
        <v>85</v>
      </c>
      <c r="U79" s="4" t="str">
        <f t="shared" si="9"/>
        <v/>
      </c>
      <c r="V79" s="4" t="e">
        <f>IF($V$3=$M$3,M79,U79*(1+'Tenure Split (WALES)'!C$109)+(U$44*(-(50-$T79)*('Tenure Split (WALES)'!C$110/40))))</f>
        <v>#VALUE!</v>
      </c>
      <c r="W79" s="4" t="e">
        <f>V79*(1+'Tenure Split (WALES)'!D$109)+(V$44*(-(50-$T79)*('Tenure Split (WALES)'!D$110/40)))</f>
        <v>#VALUE!</v>
      </c>
      <c r="X79" s="4" t="e">
        <f>W79*(1+'Tenure Split (WALES)'!E$109)+(W$44*(-(50-$T79)*('Tenure Split (WALES)'!E$110/40)))</f>
        <v>#VALUE!</v>
      </c>
      <c r="Y79" s="4" t="e">
        <f>X79*(1+'Tenure Split (WALES)'!F$109)+(X$44*(-(50-$T79)*('Tenure Split (WALES)'!F$110/40)))</f>
        <v>#VALUE!</v>
      </c>
      <c r="Z79" s="4" t="e">
        <f>Y79*(1+'Tenure Split (WALES)'!G$109)+(Y$44*(-(50-$T79)*('Tenure Split (WALES)'!G$110/40)))</f>
        <v>#VALUE!</v>
      </c>
      <c r="AB79">
        <v>85</v>
      </c>
      <c r="AC79" s="4">
        <f>IF('Tenure Split (WALES)'!$D$8="WG Estimates",'Income (Wales)'!D79,'Income (Wales)'!V79)</f>
        <v>59030.780938273194</v>
      </c>
      <c r="AD79" s="4">
        <f>IF('Tenure Split (WALES)'!$D$8="WG Estimates",'Income (Wales)'!E79,'Income (Wales)'!W79)</f>
        <v>60782.534258920772</v>
      </c>
      <c r="AE79" s="4">
        <f>IF('Tenure Split (WALES)'!$D$8="WG Estimates",'Income (Wales)'!F79,'Income (Wales)'!X79)</f>
        <v>63016.40232011323</v>
      </c>
      <c r="AF79" s="4">
        <f>IF('Tenure Split (WALES)'!$D$8="WG Estimates",'Income (Wales)'!G79,'Income (Wales)'!Y79)</f>
        <v>65601.310522873144</v>
      </c>
      <c r="AG79" s="4">
        <f>IF('Tenure Split (WALES)'!$D$8="WG Estimates",'Income (Wales)'!H79,'Income (Wales)'!Z79)</f>
        <v>68355.326691153314</v>
      </c>
    </row>
    <row r="80" spans="2:33" x14ac:dyDescent="0.25">
      <c r="B80" s="20">
        <v>86</v>
      </c>
      <c r="C80" s="58">
        <v>58636.7</v>
      </c>
      <c r="D80" s="59">
        <f>C80*(1+'Tenure Split (WALES)'!C$109)+(C$44*(-(50-$B80)*('Tenure Split (WALES)'!C$110/40)))</f>
        <v>60943.575050896856</v>
      </c>
      <c r="E80" s="59">
        <f>D80*(1+'Tenure Split (WALES)'!D$109)+(D$44*(-(50-$B80)*('Tenure Split (WALES)'!D$110/40)))</f>
        <v>62751.194348164412</v>
      </c>
      <c r="F80" s="59">
        <f>E80*(1+'Tenure Split (WALES)'!E$109)+(E$44*(-(50-$B80)*('Tenure Split (WALES)'!E$110/40)))</f>
        <v>65056.498042941297</v>
      </c>
      <c r="G80" s="59">
        <f>F80*(1+'Tenure Split (WALES)'!F$109)+(F$44*(-(50-$B80)*('Tenure Split (WALES)'!F$110/40)))</f>
        <v>67724.147540528167</v>
      </c>
      <c r="H80" s="60">
        <f>G80*(1+'Tenure Split (WALES)'!G$109)+(G$44*(-(50-$B80)*('Tenure Split (WALES)'!G$110/40)))</f>
        <v>70566.30887501371</v>
      </c>
      <c r="L80" s="64" t="str">
        <f t="shared" si="7"/>
        <v/>
      </c>
      <c r="M80" s="251"/>
      <c r="N80" s="14">
        <f t="shared" si="10"/>
        <v>1</v>
      </c>
      <c r="T80" s="1">
        <f t="shared" si="8"/>
        <v>86</v>
      </c>
      <c r="U80" s="4" t="str">
        <f t="shared" si="9"/>
        <v/>
      </c>
      <c r="V80" s="4" t="e">
        <f>IF($V$3=$M$3,M80,U80*(1+'Tenure Split (WALES)'!C$109)+(U$44*(-(50-$T80)*('Tenure Split (WALES)'!C$110/40))))</f>
        <v>#VALUE!</v>
      </c>
      <c r="W80" s="4" t="e">
        <f>V80*(1+'Tenure Split (WALES)'!D$109)+(V$44*(-(50-$T80)*('Tenure Split (WALES)'!D$110/40)))</f>
        <v>#VALUE!</v>
      </c>
      <c r="X80" s="4" t="e">
        <f>W80*(1+'Tenure Split (WALES)'!E$109)+(W$44*(-(50-$T80)*('Tenure Split (WALES)'!E$110/40)))</f>
        <v>#VALUE!</v>
      </c>
      <c r="Y80" s="4" t="e">
        <f>X80*(1+'Tenure Split (WALES)'!F$109)+(X$44*(-(50-$T80)*('Tenure Split (WALES)'!F$110/40)))</f>
        <v>#VALUE!</v>
      </c>
      <c r="Z80" s="4" t="e">
        <f>Y80*(1+'Tenure Split (WALES)'!G$109)+(Y$44*(-(50-$T80)*('Tenure Split (WALES)'!G$110/40)))</f>
        <v>#VALUE!</v>
      </c>
      <c r="AB80">
        <v>86</v>
      </c>
      <c r="AC80" s="4">
        <f>IF('Tenure Split (WALES)'!$D$8="WG Estimates",'Income (Wales)'!D80,'Income (Wales)'!V80)</f>
        <v>60943.575050896856</v>
      </c>
      <c r="AD80" s="4">
        <f>IF('Tenure Split (WALES)'!$D$8="WG Estimates",'Income (Wales)'!E80,'Income (Wales)'!W80)</f>
        <v>62751.194348164412</v>
      </c>
      <c r="AE80" s="4">
        <f>IF('Tenure Split (WALES)'!$D$8="WG Estimates",'Income (Wales)'!F80,'Income (Wales)'!X80)</f>
        <v>65056.498042941297</v>
      </c>
      <c r="AF80" s="4">
        <f>IF('Tenure Split (WALES)'!$D$8="WG Estimates",'Income (Wales)'!G80,'Income (Wales)'!Y80)</f>
        <v>67724.147540528167</v>
      </c>
      <c r="AG80" s="4">
        <f>IF('Tenure Split (WALES)'!$D$8="WG Estimates",'Income (Wales)'!H80,'Income (Wales)'!Z80)</f>
        <v>70566.30887501371</v>
      </c>
    </row>
    <row r="81" spans="2:33" x14ac:dyDescent="0.25">
      <c r="B81" s="20">
        <v>87</v>
      </c>
      <c r="C81" s="58">
        <v>60212.46</v>
      </c>
      <c r="D81" s="59">
        <f>C81*(1+'Tenure Split (WALES)'!C$109)+(C$44*(-(50-$B81)*('Tenure Split (WALES)'!C$110/40)))</f>
        <v>62581.538596376908</v>
      </c>
      <c r="E81" s="59">
        <f>D81*(1+'Tenure Split (WALES)'!D$109)+(D$44*(-(50-$B81)*('Tenure Split (WALES)'!D$110/40)))</f>
        <v>64437.957648102987</v>
      </c>
      <c r="F81" s="59">
        <f>E81*(1+'Tenure Split (WALES)'!E$109)+(E$44*(-(50-$B81)*('Tenure Split (WALES)'!E$110/40)))</f>
        <v>66805.44991282867</v>
      </c>
      <c r="G81" s="59">
        <f>F81*(1+'Tenure Split (WALES)'!F$109)+(F$44*(-(50-$B81)*('Tenure Split (WALES)'!F$110/40)))</f>
        <v>69545.043387238213</v>
      </c>
      <c r="H81" s="60">
        <f>G81*(1+'Tenure Split (WALES)'!G$109)+(G$44*(-(50-$B81)*('Tenure Split (WALES)'!G$110/40)))</f>
        <v>72463.857335727982</v>
      </c>
      <c r="L81" s="64" t="str">
        <f t="shared" si="7"/>
        <v/>
      </c>
      <c r="M81" s="251"/>
      <c r="N81" s="14">
        <f t="shared" si="10"/>
        <v>1</v>
      </c>
      <c r="T81" s="1">
        <f t="shared" si="8"/>
        <v>87</v>
      </c>
      <c r="U81" s="4" t="str">
        <f t="shared" si="9"/>
        <v/>
      </c>
      <c r="V81" s="4" t="e">
        <f>IF($V$3=$M$3,M81,U81*(1+'Tenure Split (WALES)'!C$109)+(U$44*(-(50-$T81)*('Tenure Split (WALES)'!C$110/40))))</f>
        <v>#VALUE!</v>
      </c>
      <c r="W81" s="4" t="e">
        <f>V81*(1+'Tenure Split (WALES)'!D$109)+(V$44*(-(50-$T81)*('Tenure Split (WALES)'!D$110/40)))</f>
        <v>#VALUE!</v>
      </c>
      <c r="X81" s="4" t="e">
        <f>W81*(1+'Tenure Split (WALES)'!E$109)+(W$44*(-(50-$T81)*('Tenure Split (WALES)'!E$110/40)))</f>
        <v>#VALUE!</v>
      </c>
      <c r="Y81" s="4" t="e">
        <f>X81*(1+'Tenure Split (WALES)'!F$109)+(X$44*(-(50-$T81)*('Tenure Split (WALES)'!F$110/40)))</f>
        <v>#VALUE!</v>
      </c>
      <c r="Z81" s="4" t="e">
        <f>Y81*(1+'Tenure Split (WALES)'!G$109)+(Y$44*(-(50-$T81)*('Tenure Split (WALES)'!G$110/40)))</f>
        <v>#VALUE!</v>
      </c>
      <c r="AB81">
        <v>87</v>
      </c>
      <c r="AC81" s="4">
        <f>IF('Tenure Split (WALES)'!$D$8="WG Estimates",'Income (Wales)'!D81,'Income (Wales)'!V81)</f>
        <v>62581.538596376908</v>
      </c>
      <c r="AD81" s="4">
        <f>IF('Tenure Split (WALES)'!$D$8="WG Estimates",'Income (Wales)'!E81,'Income (Wales)'!W81)</f>
        <v>64437.957648102987</v>
      </c>
      <c r="AE81" s="4">
        <f>IF('Tenure Split (WALES)'!$D$8="WG Estimates",'Income (Wales)'!F81,'Income (Wales)'!X81)</f>
        <v>66805.44991282867</v>
      </c>
      <c r="AF81" s="4">
        <f>IF('Tenure Split (WALES)'!$D$8="WG Estimates",'Income (Wales)'!G81,'Income (Wales)'!Y81)</f>
        <v>69545.043387238213</v>
      </c>
      <c r="AG81" s="4">
        <f>IF('Tenure Split (WALES)'!$D$8="WG Estimates",'Income (Wales)'!H81,'Income (Wales)'!Z81)</f>
        <v>72463.857335727982</v>
      </c>
    </row>
    <row r="82" spans="2:33" x14ac:dyDescent="0.25">
      <c r="B82" s="20">
        <v>88</v>
      </c>
      <c r="C82" s="58">
        <v>62025.25</v>
      </c>
      <c r="D82" s="59">
        <f>C82*(1+'Tenure Split (WALES)'!C$109)+(C$44*(-(50-$B82)*('Tenure Split (WALES)'!C$110/40)))</f>
        <v>64464.917638127496</v>
      </c>
      <c r="E82" s="59">
        <f>D82*(1+'Tenure Split (WALES)'!D$109)+(D$44*(-(50-$B82)*('Tenure Split (WALES)'!D$110/40)))</f>
        <v>66376.446369865633</v>
      </c>
      <c r="F82" s="59">
        <f>E82*(1+'Tenure Split (WALES)'!E$109)+(E$44*(-(50-$B82)*('Tenure Split (WALES)'!E$110/40)))</f>
        <v>68814.384556459758</v>
      </c>
      <c r="G82" s="59">
        <f>F82*(1+'Tenure Split (WALES)'!F$109)+(F$44*(-(50-$B82)*('Tenure Split (WALES)'!F$110/40)))</f>
        <v>71635.563690507508</v>
      </c>
      <c r="H82" s="60">
        <f>G82*(1+'Tenure Split (WALES)'!G$109)+(G$44*(-(50-$B82)*('Tenure Split (WALES)'!G$110/40)))</f>
        <v>74641.292759210948</v>
      </c>
      <c r="L82" s="64" t="str">
        <f t="shared" si="7"/>
        <v/>
      </c>
      <c r="M82" s="251"/>
      <c r="N82" s="14">
        <f t="shared" si="10"/>
        <v>1</v>
      </c>
      <c r="T82" s="1">
        <f t="shared" si="8"/>
        <v>88</v>
      </c>
      <c r="U82" s="4" t="str">
        <f t="shared" si="9"/>
        <v/>
      </c>
      <c r="V82" s="4" t="e">
        <f>IF($V$3=$M$3,M82,U82*(1+'Tenure Split (WALES)'!C$109)+(U$44*(-(50-$T82)*('Tenure Split (WALES)'!C$110/40))))</f>
        <v>#VALUE!</v>
      </c>
      <c r="W82" s="4" t="e">
        <f>V82*(1+'Tenure Split (WALES)'!D$109)+(V$44*(-(50-$T82)*('Tenure Split (WALES)'!D$110/40)))</f>
        <v>#VALUE!</v>
      </c>
      <c r="X82" s="4" t="e">
        <f>W82*(1+'Tenure Split (WALES)'!E$109)+(W$44*(-(50-$T82)*('Tenure Split (WALES)'!E$110/40)))</f>
        <v>#VALUE!</v>
      </c>
      <c r="Y82" s="4" t="e">
        <f>X82*(1+'Tenure Split (WALES)'!F$109)+(X$44*(-(50-$T82)*('Tenure Split (WALES)'!F$110/40)))</f>
        <v>#VALUE!</v>
      </c>
      <c r="Z82" s="4" t="e">
        <f>Y82*(1+'Tenure Split (WALES)'!G$109)+(Y$44*(-(50-$T82)*('Tenure Split (WALES)'!G$110/40)))</f>
        <v>#VALUE!</v>
      </c>
      <c r="AB82">
        <v>88</v>
      </c>
      <c r="AC82" s="4">
        <f>IF('Tenure Split (WALES)'!$D$8="WG Estimates",'Income (Wales)'!D82,'Income (Wales)'!V82)</f>
        <v>64464.917638127496</v>
      </c>
      <c r="AD82" s="4">
        <f>IF('Tenure Split (WALES)'!$D$8="WG Estimates",'Income (Wales)'!E82,'Income (Wales)'!W82)</f>
        <v>66376.446369865633</v>
      </c>
      <c r="AE82" s="4">
        <f>IF('Tenure Split (WALES)'!$D$8="WG Estimates",'Income (Wales)'!F82,'Income (Wales)'!X82)</f>
        <v>68814.384556459758</v>
      </c>
      <c r="AF82" s="4">
        <f>IF('Tenure Split (WALES)'!$D$8="WG Estimates",'Income (Wales)'!G82,'Income (Wales)'!Y82)</f>
        <v>71635.563690507508</v>
      </c>
      <c r="AG82" s="4">
        <f>IF('Tenure Split (WALES)'!$D$8="WG Estimates",'Income (Wales)'!H82,'Income (Wales)'!Z82)</f>
        <v>74641.292759210948</v>
      </c>
    </row>
    <row r="83" spans="2:33" x14ac:dyDescent="0.25">
      <c r="B83" s="20">
        <v>89</v>
      </c>
      <c r="C83" s="58">
        <v>64617.177300000003</v>
      </c>
      <c r="D83" s="59">
        <f>C83*(1+'Tenure Split (WALES)'!C$109)+(C$44*(-(50-$B83)*('Tenure Split (WALES)'!C$110/40)))</f>
        <v>67154.997802699596</v>
      </c>
      <c r="E83" s="59">
        <f>D83*(1+'Tenure Split (WALES)'!D$109)+(D$44*(-(50-$B83)*('Tenure Split (WALES)'!D$110/40)))</f>
        <v>69142.377463907585</v>
      </c>
      <c r="F83" s="59">
        <f>E83*(1+'Tenure Split (WALES)'!E$109)+(E$44*(-(50-$B83)*('Tenure Split (WALES)'!E$110/40)))</f>
        <v>71677.904174065421</v>
      </c>
      <c r="G83" s="59">
        <f>F83*(1+'Tenure Split (WALES)'!F$109)+(F$44*(-(50-$B83)*('Tenure Split (WALES)'!F$110/40)))</f>
        <v>74612.361980097252</v>
      </c>
      <c r="H83" s="60">
        <f>G83*(1+'Tenure Split (WALES)'!G$109)+(G$44*(-(50-$B83)*('Tenure Split (WALES)'!G$110/40)))</f>
        <v>77738.739879427711</v>
      </c>
      <c r="L83" s="64" t="str">
        <f t="shared" si="7"/>
        <v/>
      </c>
      <c r="M83" s="251"/>
      <c r="N83" s="14">
        <f t="shared" si="10"/>
        <v>1</v>
      </c>
      <c r="T83" s="1">
        <f t="shared" si="8"/>
        <v>89</v>
      </c>
      <c r="U83" s="4" t="str">
        <f t="shared" si="9"/>
        <v/>
      </c>
      <c r="V83" s="4" t="e">
        <f>IF($V$3=$M$3,M83,U83*(1+'Tenure Split (WALES)'!C$109)+(U$44*(-(50-$T83)*('Tenure Split (WALES)'!C$110/40))))</f>
        <v>#VALUE!</v>
      </c>
      <c r="W83" s="4" t="e">
        <f>V83*(1+'Tenure Split (WALES)'!D$109)+(V$44*(-(50-$T83)*('Tenure Split (WALES)'!D$110/40)))</f>
        <v>#VALUE!</v>
      </c>
      <c r="X83" s="4" t="e">
        <f>W83*(1+'Tenure Split (WALES)'!E$109)+(W$44*(-(50-$T83)*('Tenure Split (WALES)'!E$110/40)))</f>
        <v>#VALUE!</v>
      </c>
      <c r="Y83" s="4" t="e">
        <f>X83*(1+'Tenure Split (WALES)'!F$109)+(X$44*(-(50-$T83)*('Tenure Split (WALES)'!F$110/40)))</f>
        <v>#VALUE!</v>
      </c>
      <c r="Z83" s="4" t="e">
        <f>Y83*(1+'Tenure Split (WALES)'!G$109)+(Y$44*(-(50-$T83)*('Tenure Split (WALES)'!G$110/40)))</f>
        <v>#VALUE!</v>
      </c>
      <c r="AB83">
        <v>89</v>
      </c>
      <c r="AC83" s="4">
        <f>IF('Tenure Split (WALES)'!$D$8="WG Estimates",'Income (Wales)'!D83,'Income (Wales)'!V83)</f>
        <v>67154.997802699596</v>
      </c>
      <c r="AD83" s="4">
        <f>IF('Tenure Split (WALES)'!$D$8="WG Estimates",'Income (Wales)'!E83,'Income (Wales)'!W83)</f>
        <v>69142.377463907585</v>
      </c>
      <c r="AE83" s="4">
        <f>IF('Tenure Split (WALES)'!$D$8="WG Estimates",'Income (Wales)'!F83,'Income (Wales)'!X83)</f>
        <v>71677.904174065421</v>
      </c>
      <c r="AF83" s="4">
        <f>IF('Tenure Split (WALES)'!$D$8="WG Estimates",'Income (Wales)'!G83,'Income (Wales)'!Y83)</f>
        <v>74612.361980097252</v>
      </c>
      <c r="AG83" s="4">
        <f>IF('Tenure Split (WALES)'!$D$8="WG Estimates",'Income (Wales)'!H83,'Income (Wales)'!Z83)</f>
        <v>77738.739879427711</v>
      </c>
    </row>
    <row r="84" spans="2:33" x14ac:dyDescent="0.25">
      <c r="B84" s="23">
        <v>90</v>
      </c>
      <c r="C84" s="61">
        <v>66980.100000000006</v>
      </c>
      <c r="D84" s="62">
        <f>C84*(1+'Tenure Split (WALES)'!C$109)+(C$44*(-(50-$B84)*('Tenure Split (WALES)'!C$110/40)))</f>
        <v>69607.971788487441</v>
      </c>
      <c r="E84" s="62">
        <f>D84*(1+'Tenure Split (WALES)'!D$109)+(D$44*(-(50-$B84)*('Tenure Split (WALES)'!D$110/40)))</f>
        <v>71665.106096089643</v>
      </c>
      <c r="F84" s="62">
        <f>E84*(1+'Tenure Split (WALES)'!E$109)+(E$44*(-(50-$B84)*('Tenure Split (WALES)'!E$110/40)))</f>
        <v>74290.24355664567</v>
      </c>
      <c r="G84" s="62">
        <f>F84*(1+'Tenure Split (WALES)'!F$109)+(F$44*(-(50-$B84)*('Tenure Split (WALES)'!F$110/40)))</f>
        <v>77328.664801499137</v>
      </c>
      <c r="H84" s="63">
        <f>G84*(1+'Tenure Split (WALES)'!G$109)+(G$44*(-(50-$B84)*('Tenure Split (WALES)'!G$110/40)))</f>
        <v>80565.776494838909</v>
      </c>
      <c r="L84" s="65" t="str">
        <f t="shared" si="7"/>
        <v/>
      </c>
      <c r="M84" s="253"/>
      <c r="N84" s="14">
        <f t="shared" si="10"/>
        <v>1</v>
      </c>
      <c r="T84" s="1">
        <f t="shared" si="8"/>
        <v>90</v>
      </c>
      <c r="U84" s="4" t="str">
        <f t="shared" si="9"/>
        <v/>
      </c>
      <c r="V84" s="4" t="e">
        <f>IF($V$3=$M$3,M84,U84*(1+'Tenure Split (WALES)'!C$109)+(U$44*(-(50-$T84)*('Tenure Split (WALES)'!C$110/40))))</f>
        <v>#VALUE!</v>
      </c>
      <c r="W84" s="4" t="e">
        <f>V84*(1+'Tenure Split (WALES)'!D$109)+(V$44*(-(50-$T84)*('Tenure Split (WALES)'!D$110/40)))</f>
        <v>#VALUE!</v>
      </c>
      <c r="X84" s="4" t="e">
        <f>W84*(1+'Tenure Split (WALES)'!E$109)+(W$44*(-(50-$T84)*('Tenure Split (WALES)'!E$110/40)))</f>
        <v>#VALUE!</v>
      </c>
      <c r="Y84" s="4" t="e">
        <f>X84*(1+'Tenure Split (WALES)'!F$109)+(X$44*(-(50-$T84)*('Tenure Split (WALES)'!F$110/40)))</f>
        <v>#VALUE!</v>
      </c>
      <c r="Z84" s="4" t="e">
        <f>Y84*(1+'Tenure Split (WALES)'!G$109)+(Y$44*(-(50-$T84)*('Tenure Split (WALES)'!G$110/40)))</f>
        <v>#VALUE!</v>
      </c>
      <c r="AB84">
        <v>90</v>
      </c>
      <c r="AC84" s="4">
        <f>IF('Tenure Split (WALES)'!$D$8="WG Estimates",'Income (Wales)'!D84,'Income (Wales)'!V84)</f>
        <v>69607.971788487441</v>
      </c>
      <c r="AD84" s="4">
        <f>IF('Tenure Split (WALES)'!$D$8="WG Estimates",'Income (Wales)'!E84,'Income (Wales)'!W84)</f>
        <v>71665.106096089643</v>
      </c>
      <c r="AE84" s="4">
        <f>IF('Tenure Split (WALES)'!$D$8="WG Estimates",'Income (Wales)'!F84,'Income (Wales)'!X84)</f>
        <v>74290.24355664567</v>
      </c>
      <c r="AF84" s="4">
        <f>IF('Tenure Split (WALES)'!$D$8="WG Estimates",'Income (Wales)'!G84,'Income (Wales)'!Y84)</f>
        <v>77328.664801499137</v>
      </c>
      <c r="AG84" s="4">
        <f>IF('Tenure Split (WALES)'!$D$8="WG Estimates",'Income (Wales)'!H84,'Income (Wales)'!Z84)</f>
        <v>80565.776494838909</v>
      </c>
    </row>
    <row r="85" spans="2:33" x14ac:dyDescent="0.25">
      <c r="N85" s="14">
        <f>IF(SUM(N4:N84)&gt;0,1,0)</f>
        <v>1</v>
      </c>
      <c r="T85" s="1"/>
    </row>
  </sheetData>
  <sheetProtection sheet="1" objects="1" scenarios="1"/>
  <mergeCells count="3">
    <mergeCell ref="B2:H2"/>
    <mergeCell ref="J2:M2"/>
    <mergeCell ref="J9:J10"/>
  </mergeCells>
  <dataValidations count="2">
    <dataValidation type="list" allowBlank="1" showInputMessage="1" showErrorMessage="1" sqref="K4">
      <formula1>"2017,2018"</formula1>
    </dataValidation>
    <dataValidation type="decimal" operator="greaterThan" allowBlank="1" showInputMessage="1" showErrorMessage="1" sqref="M4:M84">
      <formula1>0</formula1>
    </dataValidation>
  </dataValidations>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85"/>
  <sheetViews>
    <sheetView showGridLines="0" workbookViewId="0"/>
  </sheetViews>
  <sheetFormatPr defaultColWidth="9.140625" defaultRowHeight="15" x14ac:dyDescent="0.25"/>
  <cols>
    <col min="1" max="1" width="2.140625" style="1" customWidth="1"/>
    <col min="2" max="2" width="10.140625" style="1" bestFit="1" customWidth="1"/>
    <col min="3" max="3" width="9.140625" style="1"/>
    <col min="4" max="8" width="10.140625" style="1" bestFit="1" customWidth="1"/>
    <col min="9" max="9" width="9.140625" style="1"/>
    <col min="10" max="10" width="53.85546875" style="1" customWidth="1"/>
    <col min="11" max="11" width="9.140625" style="1"/>
    <col min="12" max="12" width="10.140625" style="1" customWidth="1"/>
    <col min="13" max="13" width="9.140625" style="1" customWidth="1"/>
    <col min="14" max="14" width="9.140625" style="1" hidden="1" customWidth="1"/>
    <col min="15" max="18" width="9.140625" style="1"/>
    <col min="19" max="19" width="0" style="1" hidden="1" customWidth="1"/>
    <col min="20" max="20" width="9.140625" style="1" hidden="1" customWidth="1"/>
    <col min="21" max="26" width="10.140625" style="1" hidden="1" customWidth="1"/>
    <col min="27" max="27" width="9.140625" style="1" hidden="1" customWidth="1"/>
    <col min="28" max="28" width="9.140625" style="1" customWidth="1"/>
    <col min="29" max="29" width="10.140625" style="1" customWidth="1"/>
    <col min="30" max="33" width="9.140625" style="1" customWidth="1"/>
    <col min="34" max="16384" width="9.140625" style="1"/>
  </cols>
  <sheetData>
    <row r="1" spans="2:33" ht="9.75" customHeight="1" x14ac:dyDescent="0.25"/>
    <row r="2" spans="2:33" ht="26.25" customHeight="1" x14ac:dyDescent="0.25">
      <c r="B2" s="430" t="s">
        <v>174</v>
      </c>
      <c r="C2" s="431"/>
      <c r="D2" s="431"/>
      <c r="E2" s="431"/>
      <c r="F2" s="431"/>
      <c r="G2" s="431"/>
      <c r="H2" s="432"/>
      <c r="J2" s="433" t="s">
        <v>175</v>
      </c>
      <c r="K2" s="434"/>
      <c r="L2" s="434"/>
      <c r="M2" s="435"/>
      <c r="N2" s="67"/>
      <c r="U2" s="1" t="s">
        <v>48</v>
      </c>
      <c r="AB2" s="1" t="s">
        <v>81</v>
      </c>
    </row>
    <row r="3" spans="2:33" x14ac:dyDescent="0.25">
      <c r="B3" s="34" t="s">
        <v>46</v>
      </c>
      <c r="C3" s="35">
        <v>2017</v>
      </c>
      <c r="D3" s="35">
        <v>2018</v>
      </c>
      <c r="E3" s="35">
        <v>2019</v>
      </c>
      <c r="F3" s="35">
        <v>2020</v>
      </c>
      <c r="G3" s="35">
        <v>2021</v>
      </c>
      <c r="H3" s="57">
        <v>2022</v>
      </c>
      <c r="L3" s="34" t="s">
        <v>46</v>
      </c>
      <c r="M3" s="66">
        <f>K4</f>
        <v>0</v>
      </c>
      <c r="N3" s="68" t="s">
        <v>80</v>
      </c>
      <c r="U3" s="1">
        <v>2017</v>
      </c>
      <c r="V3" s="1">
        <v>2018</v>
      </c>
      <c r="W3" s="1">
        <v>2019</v>
      </c>
      <c r="X3" s="1">
        <v>2020</v>
      </c>
      <c r="Y3" s="1">
        <v>2021</v>
      </c>
      <c r="Z3" s="1">
        <v>2022</v>
      </c>
      <c r="AC3" s="1">
        <v>2018</v>
      </c>
      <c r="AD3" s="1">
        <v>2019</v>
      </c>
      <c r="AE3" s="1">
        <v>2020</v>
      </c>
      <c r="AF3" s="1">
        <v>2021</v>
      </c>
      <c r="AG3" s="1">
        <v>2022</v>
      </c>
    </row>
    <row r="4" spans="2:33" x14ac:dyDescent="0.25">
      <c r="B4" s="20">
        <v>10</v>
      </c>
      <c r="C4" s="58">
        <v>11519</v>
      </c>
      <c r="D4" s="59">
        <f>C4*(1+'Tenure Split (North Wales)'!C$109)+(C$44*(-(50-$B4)*('Tenure Split (North Wales)'!C$110/40)))</f>
        <v>11671.861840443458</v>
      </c>
      <c r="E4" s="59">
        <f>D4*(1+'Tenure Split (North Wales)'!D$109)+(D$44*(-(50-$B4)*('Tenure Split (North Wales)'!D$110/40)))</f>
        <v>11708.300504790728</v>
      </c>
      <c r="F4" s="59">
        <f>E4*(1+'Tenure Split (North Wales)'!E$109)+(E$44*(-(50-$B4)*('Tenure Split (North Wales)'!E$110/40)))</f>
        <v>11821.930192234566</v>
      </c>
      <c r="G4" s="59">
        <f>F4*(1+'Tenure Split (North Wales)'!F$109)+(F$44*(-(50-$B4)*('Tenure Split (North Wales)'!F$110/40)))</f>
        <v>11981.047547845112</v>
      </c>
      <c r="H4" s="60">
        <f>G4*(1+'Tenure Split (North Wales)'!G$109)+(G$44*(-(50-$B4)*('Tenure Split (North Wales)'!G$110/40)))</f>
        <v>12147.405435121387</v>
      </c>
      <c r="I4" s="4"/>
      <c r="J4" s="69" t="str">
        <f>IF('Tenure Split (WALES)'!D8="Other","Choose what year of data you would like to enter:","")</f>
        <v/>
      </c>
      <c r="K4" s="263"/>
      <c r="L4" s="64" t="str">
        <f t="shared" ref="L4:L67" si="0">IF(ISBLANK($K$4),"",B4)</f>
        <v/>
      </c>
      <c r="M4" s="251"/>
      <c r="N4" s="37">
        <f>IF(ISBLANK(M4),1,0)</f>
        <v>1</v>
      </c>
      <c r="O4" s="11" t="str">
        <f>IF(J4="","","&lt;&lt; Enter each percentile data here.")</f>
        <v/>
      </c>
      <c r="T4" s="1">
        <f t="shared" ref="T4:T67" si="1">B4</f>
        <v>10</v>
      </c>
      <c r="U4" s="4" t="str">
        <f t="shared" ref="U4:U67" si="2">IF($M$3=$U$3,M4,"")</f>
        <v/>
      </c>
      <c r="V4" s="4" t="e">
        <f>IF($V$3=$M$3,M4,U4*(1+'Tenure Split (North Wales)'!C$109)+(U$44*(-(50-$T4)*('Tenure Split (North Wales)'!C$110/40))))</f>
        <v>#VALUE!</v>
      </c>
      <c r="W4" s="4" t="e">
        <f>V4*(1+'Tenure Split (North Wales)'!D$109)+(V$44*(-(50-$T4)*('Tenure Split (North Wales)'!D$110/40)))</f>
        <v>#VALUE!</v>
      </c>
      <c r="X4" s="4" t="e">
        <f>W4*(1+'Tenure Split (North Wales)'!E$109)+(W$44*(-(50-$T4)*('Tenure Split (North Wales)'!E$110/40)))</f>
        <v>#VALUE!</v>
      </c>
      <c r="Y4" s="4" t="e">
        <f>X4*(1+'Tenure Split (North Wales)'!F$109)+(X$44*(-(50-$T4)*('Tenure Split (North Wales)'!F$110/40)))</f>
        <v>#VALUE!</v>
      </c>
      <c r="Z4" s="4" t="e">
        <f>Y4*(1+'Tenure Split (North Wales)'!G$109)+(Y$44*(-(50-$T4)*('Tenure Split (North Wales)'!G$110/40)))</f>
        <v>#VALUE!</v>
      </c>
      <c r="AB4" s="1">
        <v>10</v>
      </c>
      <c r="AC4" s="4">
        <f>IF('Tenure Split (WALES)'!$D$8="WG Estimates",'Income (North Wales)'!D4,'Income (North Wales)'!V4)</f>
        <v>11671.861840443458</v>
      </c>
      <c r="AD4" s="4">
        <f>IF('Tenure Split (WALES)'!$D$8="WG Estimates",'Income (North Wales)'!E4,'Income (North Wales)'!W4)</f>
        <v>11708.300504790728</v>
      </c>
      <c r="AE4" s="4">
        <f>IF('Tenure Split (WALES)'!$D$8="WG Estimates",'Income (North Wales)'!F4,'Income (North Wales)'!X4)</f>
        <v>11821.930192234566</v>
      </c>
      <c r="AF4" s="4">
        <f>IF('Tenure Split (WALES)'!$D$8="WG Estimates",'Income (North Wales)'!G4,'Income (North Wales)'!Y4)</f>
        <v>11981.047547845112</v>
      </c>
      <c r="AG4" s="4">
        <f>IF('Tenure Split (WALES)'!$D$8="WG Estimates",'Income (North Wales)'!H4,'Income (North Wales)'!Z4)</f>
        <v>12147.405435121387</v>
      </c>
    </row>
    <row r="5" spans="2:33" x14ac:dyDescent="0.25">
      <c r="B5" s="20">
        <v>11</v>
      </c>
      <c r="C5" s="58">
        <v>12038</v>
      </c>
      <c r="D5" s="59">
        <f>C5*(1+'Tenure Split (North Wales)'!C$109)+(C$44*(-(50-$B5)*('Tenure Split (North Wales)'!C$110/40)))</f>
        <v>12215.588941662327</v>
      </c>
      <c r="E5" s="59">
        <f>D5*(1+'Tenure Split (North Wales)'!D$109)+(D$44*(-(50-$B5)*('Tenure Split (North Wales)'!D$110/40)))</f>
        <v>12272.598950389234</v>
      </c>
      <c r="F5" s="59">
        <f>E5*(1+'Tenure Split (North Wales)'!E$109)+(E$44*(-(50-$B5)*('Tenure Split (North Wales)'!E$110/40)))</f>
        <v>12411.500271993262</v>
      </c>
      <c r="G5" s="59">
        <f>F5*(1+'Tenure Split (North Wales)'!F$109)+(F$44*(-(50-$B5)*('Tenure Split (North Wales)'!F$110/40)))</f>
        <v>12599.465061768477</v>
      </c>
      <c r="H5" s="60">
        <f>G5*(1+'Tenure Split (North Wales)'!G$109)+(G$44*(-(50-$B5)*('Tenure Split (North Wales)'!G$110/40)))</f>
        <v>12796.602979833482</v>
      </c>
      <c r="J5" s="70" t="str">
        <f>IF(J4="","","You only need to enter one year of data (either 2017 or 2018)")</f>
        <v/>
      </c>
      <c r="L5" s="64" t="str">
        <f t="shared" si="0"/>
        <v/>
      </c>
      <c r="M5" s="251"/>
      <c r="N5" s="37">
        <f t="shared" ref="N5:N68" si="3">IF(ISBLANK(M5),1,0)</f>
        <v>1</v>
      </c>
      <c r="T5" s="1">
        <f t="shared" si="1"/>
        <v>11</v>
      </c>
      <c r="U5" s="4" t="str">
        <f t="shared" si="2"/>
        <v/>
      </c>
      <c r="V5" s="4" t="e">
        <f>IF($V$3=$M$3,M5,U5*(1+'Tenure Split (North Wales)'!C$109)+(U$44*(-(50-$T5)*('Tenure Split (North Wales)'!C$110/40))))</f>
        <v>#VALUE!</v>
      </c>
      <c r="W5" s="4" t="e">
        <f>V5*(1+'Tenure Split (North Wales)'!D$109)+(V$44*(-(50-$T5)*('Tenure Split (North Wales)'!D$110/40)))</f>
        <v>#VALUE!</v>
      </c>
      <c r="X5" s="4" t="e">
        <f>W5*(1+'Tenure Split (North Wales)'!E$109)+(W$44*(-(50-$T5)*('Tenure Split (North Wales)'!E$110/40)))</f>
        <v>#VALUE!</v>
      </c>
      <c r="Y5" s="4" t="e">
        <f>X5*(1+'Tenure Split (North Wales)'!F$109)+(X$44*(-(50-$T5)*('Tenure Split (North Wales)'!F$110/40)))</f>
        <v>#VALUE!</v>
      </c>
      <c r="Z5" s="4" t="e">
        <f>Y5*(1+'Tenure Split (North Wales)'!G$109)+(Y$44*(-(50-$T5)*('Tenure Split (North Wales)'!G$110/40)))</f>
        <v>#VALUE!</v>
      </c>
      <c r="AB5" s="1">
        <v>11</v>
      </c>
      <c r="AC5" s="4">
        <f>IF('Tenure Split (WALES)'!$D$8="WG Estimates",'Income (North Wales)'!D5,'Income (North Wales)'!V5)</f>
        <v>12215.588941662327</v>
      </c>
      <c r="AD5" s="4">
        <f>IF('Tenure Split (WALES)'!$D$8="WG Estimates",'Income (North Wales)'!E5,'Income (North Wales)'!W5)</f>
        <v>12272.598950389234</v>
      </c>
      <c r="AE5" s="4">
        <f>IF('Tenure Split (WALES)'!$D$8="WG Estimates",'Income (North Wales)'!F5,'Income (North Wales)'!X5)</f>
        <v>12411.500271993262</v>
      </c>
      <c r="AF5" s="4">
        <f>IF('Tenure Split (WALES)'!$D$8="WG Estimates",'Income (North Wales)'!G5,'Income (North Wales)'!Y5)</f>
        <v>12599.465061768477</v>
      </c>
      <c r="AG5" s="4">
        <f>IF('Tenure Split (WALES)'!$D$8="WG Estimates",'Income (North Wales)'!H5,'Income (North Wales)'!Z5)</f>
        <v>12796.602979833482</v>
      </c>
    </row>
    <row r="6" spans="2:33" x14ac:dyDescent="0.25">
      <c r="B6" s="20">
        <v>12</v>
      </c>
      <c r="C6" s="58">
        <v>12522.25</v>
      </c>
      <c r="D6" s="59">
        <f>C6*(1+'Tenure Split (North Wales)'!C$109)+(C$44*(-(50-$B6)*('Tenure Split (North Wales)'!C$110/40)))</f>
        <v>12723.336679528875</v>
      </c>
      <c r="E6" s="59">
        <f>D6*(1+'Tenure Split (North Wales)'!D$109)+(D$44*(-(50-$B6)*('Tenure Split (North Wales)'!D$110/40)))</f>
        <v>12799.992960226928</v>
      </c>
      <c r="F6" s="59">
        <f>E6*(1+'Tenure Split (North Wales)'!E$109)+(E$44*(-(50-$B6)*('Tenure Split (North Wales)'!E$110/40)))</f>
        <v>12962.955339358614</v>
      </c>
      <c r="G6" s="59">
        <f>F6*(1+'Tenure Split (North Wales)'!F$109)+(F$44*(-(50-$B6)*('Tenure Split (North Wales)'!F$110/40)))</f>
        <v>13178.354035568504</v>
      </c>
      <c r="H6" s="60">
        <f>G6*(1+'Tenure Split (North Wales)'!G$109)+(G$44*(-(50-$B6)*('Tenure Split (North Wales)'!G$110/40)))</f>
        <v>13404.767440310612</v>
      </c>
      <c r="L6" s="64" t="str">
        <f t="shared" si="0"/>
        <v/>
      </c>
      <c r="M6" s="251"/>
      <c r="N6" s="37">
        <f t="shared" si="3"/>
        <v>1</v>
      </c>
      <c r="T6" s="1">
        <f t="shared" si="1"/>
        <v>12</v>
      </c>
      <c r="U6" s="4" t="str">
        <f t="shared" si="2"/>
        <v/>
      </c>
      <c r="V6" s="4" t="e">
        <f>IF($V$3=$M$3,M6,U6*(1+'Tenure Split (North Wales)'!C$109)+(U$44*(-(50-$T6)*('Tenure Split (North Wales)'!C$110/40))))</f>
        <v>#VALUE!</v>
      </c>
      <c r="W6" s="4" t="e">
        <f>V6*(1+'Tenure Split (North Wales)'!D$109)+(V$44*(-(50-$T6)*('Tenure Split (North Wales)'!D$110/40)))</f>
        <v>#VALUE!</v>
      </c>
      <c r="X6" s="4" t="e">
        <f>W6*(1+'Tenure Split (North Wales)'!E$109)+(W$44*(-(50-$T6)*('Tenure Split (North Wales)'!E$110/40)))</f>
        <v>#VALUE!</v>
      </c>
      <c r="Y6" s="4" t="e">
        <f>X6*(1+'Tenure Split (North Wales)'!F$109)+(X$44*(-(50-$T6)*('Tenure Split (North Wales)'!F$110/40)))</f>
        <v>#VALUE!</v>
      </c>
      <c r="Z6" s="4" t="e">
        <f>Y6*(1+'Tenure Split (North Wales)'!G$109)+(Y$44*(-(50-$T6)*('Tenure Split (North Wales)'!G$110/40)))</f>
        <v>#VALUE!</v>
      </c>
      <c r="AB6" s="1">
        <v>12</v>
      </c>
      <c r="AC6" s="4">
        <f>IF('Tenure Split (WALES)'!$D$8="WG Estimates",'Income (North Wales)'!D6,'Income (North Wales)'!V6)</f>
        <v>12723.336679528875</v>
      </c>
      <c r="AD6" s="4">
        <f>IF('Tenure Split (WALES)'!$D$8="WG Estimates",'Income (North Wales)'!E6,'Income (North Wales)'!W6)</f>
        <v>12799.992960226928</v>
      </c>
      <c r="AE6" s="4">
        <f>IF('Tenure Split (WALES)'!$D$8="WG Estimates",'Income (North Wales)'!F6,'Income (North Wales)'!X6)</f>
        <v>12962.955339358614</v>
      </c>
      <c r="AF6" s="4">
        <f>IF('Tenure Split (WALES)'!$D$8="WG Estimates",'Income (North Wales)'!G6,'Income (North Wales)'!Y6)</f>
        <v>13178.354035568504</v>
      </c>
      <c r="AG6" s="4">
        <f>IF('Tenure Split (WALES)'!$D$8="WG Estimates",'Income (North Wales)'!H6,'Income (North Wales)'!Z6)</f>
        <v>13404.767440310612</v>
      </c>
    </row>
    <row r="7" spans="2:33" x14ac:dyDescent="0.25">
      <c r="B7" s="20">
        <v>13</v>
      </c>
      <c r="C7" s="58">
        <v>12919.2</v>
      </c>
      <c r="D7" s="59">
        <f>C7*(1+'Tenure Split (North Wales)'!C$109)+(C$44*(-(50-$B7)*('Tenure Split (North Wales)'!C$110/40)))</f>
        <v>13140.695973635484</v>
      </c>
      <c r="E7" s="59">
        <f>D7*(1+'Tenure Split (North Wales)'!D$109)+(D$44*(-(50-$B7)*('Tenure Split (North Wales)'!D$110/40)))</f>
        <v>13234.674531448238</v>
      </c>
      <c r="F7" s="59">
        <f>E7*(1+'Tenure Split (North Wales)'!E$109)+(E$44*(-(50-$B7)*('Tenure Split (North Wales)'!E$110/40)))</f>
        <v>13418.656720912779</v>
      </c>
      <c r="G7" s="59">
        <f>F7*(1+'Tenure Split (North Wales)'!F$109)+(F$44*(-(50-$B7)*('Tenure Split (North Wales)'!F$110/40)))</f>
        <v>13657.938216483157</v>
      </c>
      <c r="H7" s="60">
        <f>G7*(1+'Tenure Split (North Wales)'!G$109)+(G$44*(-(50-$B7)*('Tenure Split (North Wales)'!G$110/40)))</f>
        <v>13909.847346724096</v>
      </c>
      <c r="J7" s="11" t="str">
        <f>IF(J4="","",IF(N85=1,"User input not yet complete",IF(N85=0,"User input complete","")))</f>
        <v/>
      </c>
      <c r="L7" s="64" t="str">
        <f t="shared" si="0"/>
        <v/>
      </c>
      <c r="M7" s="251"/>
      <c r="N7" s="37">
        <f t="shared" si="3"/>
        <v>1</v>
      </c>
      <c r="T7" s="1">
        <f t="shared" si="1"/>
        <v>13</v>
      </c>
      <c r="U7" s="4" t="str">
        <f t="shared" si="2"/>
        <v/>
      </c>
      <c r="V7" s="4" t="e">
        <f>IF($V$3=$M$3,M7,U7*(1+'Tenure Split (North Wales)'!C$109)+(U$44*(-(50-$T7)*('Tenure Split (North Wales)'!C$110/40))))</f>
        <v>#VALUE!</v>
      </c>
      <c r="W7" s="4" t="e">
        <f>V7*(1+'Tenure Split (North Wales)'!D$109)+(V$44*(-(50-$T7)*('Tenure Split (North Wales)'!D$110/40)))</f>
        <v>#VALUE!</v>
      </c>
      <c r="X7" s="4" t="e">
        <f>W7*(1+'Tenure Split (North Wales)'!E$109)+(W$44*(-(50-$T7)*('Tenure Split (North Wales)'!E$110/40)))</f>
        <v>#VALUE!</v>
      </c>
      <c r="Y7" s="4" t="e">
        <f>X7*(1+'Tenure Split (North Wales)'!F$109)+(X$44*(-(50-$T7)*('Tenure Split (North Wales)'!F$110/40)))</f>
        <v>#VALUE!</v>
      </c>
      <c r="Z7" s="4" t="e">
        <f>Y7*(1+'Tenure Split (North Wales)'!G$109)+(Y$44*(-(50-$T7)*('Tenure Split (North Wales)'!G$110/40)))</f>
        <v>#VALUE!</v>
      </c>
      <c r="AB7" s="1">
        <v>13</v>
      </c>
      <c r="AC7" s="4">
        <f>IF('Tenure Split (WALES)'!$D$8="WG Estimates",'Income (North Wales)'!D7,'Income (North Wales)'!V7)</f>
        <v>13140.695973635484</v>
      </c>
      <c r="AD7" s="4">
        <f>IF('Tenure Split (WALES)'!$D$8="WG Estimates",'Income (North Wales)'!E7,'Income (North Wales)'!W7)</f>
        <v>13234.674531448238</v>
      </c>
      <c r="AE7" s="4">
        <f>IF('Tenure Split (WALES)'!$D$8="WG Estimates",'Income (North Wales)'!F7,'Income (North Wales)'!X7)</f>
        <v>13418.656720912779</v>
      </c>
      <c r="AF7" s="4">
        <f>IF('Tenure Split (WALES)'!$D$8="WG Estimates",'Income (North Wales)'!G7,'Income (North Wales)'!Y7)</f>
        <v>13657.938216483157</v>
      </c>
      <c r="AG7" s="4">
        <f>IF('Tenure Split (WALES)'!$D$8="WG Estimates",'Income (North Wales)'!H7,'Income (North Wales)'!Z7)</f>
        <v>13909.847346724096</v>
      </c>
    </row>
    <row r="8" spans="2:33" x14ac:dyDescent="0.25">
      <c r="B8" s="20">
        <v>14</v>
      </c>
      <c r="C8" s="58">
        <v>12919.2</v>
      </c>
      <c r="D8" s="59">
        <f>C8*(1+'Tenure Split (North Wales)'!C$109)+(C$44*(-(50-$B8)*('Tenure Split (North Wales)'!C$110/40)))</f>
        <v>13147.062223635485</v>
      </c>
      <c r="E8" s="59">
        <f>D8*(1+'Tenure Split (North Wales)'!D$109)+(D$44*(-(50-$B8)*('Tenure Split (North Wales)'!D$110/40)))</f>
        <v>13247.795936475124</v>
      </c>
      <c r="F8" s="59">
        <f>E8*(1+'Tenure Split (North Wales)'!E$109)+(E$44*(-(50-$B8)*('Tenure Split (North Wales)'!E$110/40)))</f>
        <v>13438.969493271608</v>
      </c>
      <c r="G8" s="59">
        <f>F8*(1+'Tenure Split (North Wales)'!F$109)+(F$44*(-(50-$B8)*('Tenure Split (North Wales)'!F$110/40)))</f>
        <v>13685.987030435001</v>
      </c>
      <c r="H8" s="60">
        <f>G8*(1+'Tenure Split (North Wales)'!G$109)+(G$44*(-(50-$B8)*('Tenure Split (North Wales)'!G$110/40)))</f>
        <v>13946.205446315489</v>
      </c>
      <c r="L8" s="64" t="str">
        <f t="shared" si="0"/>
        <v/>
      </c>
      <c r="M8" s="251"/>
      <c r="N8" s="37">
        <f t="shared" si="3"/>
        <v>1</v>
      </c>
      <c r="T8" s="1">
        <f t="shared" si="1"/>
        <v>14</v>
      </c>
      <c r="U8" s="4" t="str">
        <f t="shared" si="2"/>
        <v/>
      </c>
      <c r="V8" s="4" t="e">
        <f>IF($V$3=$M$3,M8,U8*(1+'Tenure Split (North Wales)'!C$109)+(U$44*(-(50-$T8)*('Tenure Split (North Wales)'!C$110/40))))</f>
        <v>#VALUE!</v>
      </c>
      <c r="W8" s="4" t="e">
        <f>V8*(1+'Tenure Split (North Wales)'!D$109)+(V$44*(-(50-$T8)*('Tenure Split (North Wales)'!D$110/40)))</f>
        <v>#VALUE!</v>
      </c>
      <c r="X8" s="4" t="e">
        <f>W8*(1+'Tenure Split (North Wales)'!E$109)+(W$44*(-(50-$T8)*('Tenure Split (North Wales)'!E$110/40)))</f>
        <v>#VALUE!</v>
      </c>
      <c r="Y8" s="4" t="e">
        <f>X8*(1+'Tenure Split (North Wales)'!F$109)+(X$44*(-(50-$T8)*('Tenure Split (North Wales)'!F$110/40)))</f>
        <v>#VALUE!</v>
      </c>
      <c r="Z8" s="4" t="e">
        <f>Y8*(1+'Tenure Split (North Wales)'!G$109)+(Y$44*(-(50-$T8)*('Tenure Split (North Wales)'!G$110/40)))</f>
        <v>#VALUE!</v>
      </c>
      <c r="AB8" s="1">
        <v>14</v>
      </c>
      <c r="AC8" s="4">
        <f>IF('Tenure Split (WALES)'!$D$8="WG Estimates",'Income (North Wales)'!D8,'Income (North Wales)'!V8)</f>
        <v>13147.062223635485</v>
      </c>
      <c r="AD8" s="4">
        <f>IF('Tenure Split (WALES)'!$D$8="WG Estimates",'Income (North Wales)'!E8,'Income (North Wales)'!W8)</f>
        <v>13247.795936475124</v>
      </c>
      <c r="AE8" s="4">
        <f>IF('Tenure Split (WALES)'!$D$8="WG Estimates",'Income (North Wales)'!F8,'Income (North Wales)'!X8)</f>
        <v>13438.969493271608</v>
      </c>
      <c r="AF8" s="4">
        <f>IF('Tenure Split (WALES)'!$D$8="WG Estimates",'Income (North Wales)'!G8,'Income (North Wales)'!Y8)</f>
        <v>13685.987030435001</v>
      </c>
      <c r="AG8" s="4">
        <f>IF('Tenure Split (WALES)'!$D$8="WG Estimates",'Income (North Wales)'!H8,'Income (North Wales)'!Z8)</f>
        <v>13946.205446315489</v>
      </c>
    </row>
    <row r="9" spans="2:33" x14ac:dyDescent="0.25">
      <c r="B9" s="20">
        <v>15</v>
      </c>
      <c r="C9" s="58">
        <v>13095.5</v>
      </c>
      <c r="D9" s="59">
        <f>C9*(1+'Tenure Split (North Wales)'!C$109)+(C$44*(-(50-$B9)*('Tenure Split (North Wales)'!C$110/40)))</f>
        <v>13335.965502671874</v>
      </c>
      <c r="E9" s="59">
        <f>D9*(1+'Tenure Split (North Wales)'!D$109)+(D$44*(-(50-$B9)*('Tenure Split (North Wales)'!D$110/40)))</f>
        <v>13448.147615592135</v>
      </c>
      <c r="F9" s="59">
        <f>E9*(1+'Tenure Split (North Wales)'!E$109)+(E$44*(-(50-$B9)*('Tenure Split (North Wales)'!E$110/40)))</f>
        <v>13652.654256564148</v>
      </c>
      <c r="G9" s="59">
        <f>F9*(1+'Tenure Split (North Wales)'!F$109)+(F$44*(-(50-$B9)*('Tenure Split (North Wales)'!F$110/40)))</f>
        <v>13914.579200465801</v>
      </c>
      <c r="H9" s="60">
        <f>G9*(1+'Tenure Split (North Wales)'!G$109)+(G$44*(-(50-$B9)*('Tenure Split (North Wales)'!G$110/40)))</f>
        <v>14190.740027939211</v>
      </c>
      <c r="J9" s="436" t="str">
        <f>IF(J4="","If you would like to use your own income distribution data, please change your dropdown selection.","")</f>
        <v>If you would like to use your own income distribution data, please change your dropdown selection.</v>
      </c>
      <c r="L9" s="64" t="str">
        <f t="shared" si="0"/>
        <v/>
      </c>
      <c r="M9" s="251"/>
      <c r="N9" s="37">
        <f t="shared" si="3"/>
        <v>1</v>
      </c>
      <c r="T9" s="1">
        <f t="shared" si="1"/>
        <v>15</v>
      </c>
      <c r="U9" s="4" t="str">
        <f t="shared" si="2"/>
        <v/>
      </c>
      <c r="V9" s="4" t="e">
        <f>IF($V$3=$M$3,M9,U9*(1+'Tenure Split (North Wales)'!C$109)+(U$44*(-(50-$T9)*('Tenure Split (North Wales)'!C$110/40))))</f>
        <v>#VALUE!</v>
      </c>
      <c r="W9" s="4" t="e">
        <f>V9*(1+'Tenure Split (North Wales)'!D$109)+(V$44*(-(50-$T9)*('Tenure Split (North Wales)'!D$110/40)))</f>
        <v>#VALUE!</v>
      </c>
      <c r="X9" s="4" t="e">
        <f>W9*(1+'Tenure Split (North Wales)'!E$109)+(W$44*(-(50-$T9)*('Tenure Split (North Wales)'!E$110/40)))</f>
        <v>#VALUE!</v>
      </c>
      <c r="Y9" s="4" t="e">
        <f>X9*(1+'Tenure Split (North Wales)'!F$109)+(X$44*(-(50-$T9)*('Tenure Split (North Wales)'!F$110/40)))</f>
        <v>#VALUE!</v>
      </c>
      <c r="Z9" s="4" t="e">
        <f>Y9*(1+'Tenure Split (North Wales)'!G$109)+(Y$44*(-(50-$T9)*('Tenure Split (North Wales)'!G$110/40)))</f>
        <v>#VALUE!</v>
      </c>
      <c r="AB9" s="1">
        <v>15</v>
      </c>
      <c r="AC9" s="4">
        <f>IF('Tenure Split (WALES)'!$D$8="WG Estimates",'Income (North Wales)'!D9,'Income (North Wales)'!V9)</f>
        <v>13335.965502671874</v>
      </c>
      <c r="AD9" s="4">
        <f>IF('Tenure Split (WALES)'!$D$8="WG Estimates",'Income (North Wales)'!E9,'Income (North Wales)'!W9)</f>
        <v>13448.147615592135</v>
      </c>
      <c r="AE9" s="4">
        <f>IF('Tenure Split (WALES)'!$D$8="WG Estimates",'Income (North Wales)'!F9,'Income (North Wales)'!X9)</f>
        <v>13652.654256564148</v>
      </c>
      <c r="AF9" s="4">
        <f>IF('Tenure Split (WALES)'!$D$8="WG Estimates",'Income (North Wales)'!G9,'Income (North Wales)'!Y9)</f>
        <v>13914.579200465801</v>
      </c>
      <c r="AG9" s="4">
        <f>IF('Tenure Split (WALES)'!$D$8="WG Estimates",'Income (North Wales)'!H9,'Income (North Wales)'!Z9)</f>
        <v>14190.740027939211</v>
      </c>
    </row>
    <row r="10" spans="2:33" x14ac:dyDescent="0.25">
      <c r="B10" s="20">
        <v>16</v>
      </c>
      <c r="C10" s="58">
        <v>13505.24</v>
      </c>
      <c r="D10" s="59">
        <f>C10*(1+'Tenure Split (North Wales)'!C$109)+(C$44*(-(50-$B10)*('Tenure Split (North Wales)'!C$110/40)))</f>
        <v>13766.567273246863</v>
      </c>
      <c r="E10" s="59">
        <f>D10*(1+'Tenure Split (North Wales)'!D$109)+(D$44*(-(50-$B10)*('Tenure Split (North Wales)'!D$110/40)))</f>
        <v>13896.412143169729</v>
      </c>
      <c r="F10" s="59">
        <f>E10*(1+'Tenure Split (North Wales)'!E$109)+(E$44*(-(50-$B10)*('Tenure Split (North Wales)'!E$110/40)))</f>
        <v>14122.384156348839</v>
      </c>
      <c r="G10" s="59">
        <f>F10*(1+'Tenure Split (North Wales)'!F$109)+(F$44*(-(50-$B10)*('Tenure Split (North Wales)'!F$110/40)))</f>
        <v>14408.712159169729</v>
      </c>
      <c r="H10" s="60">
        <f>G10*(1+'Tenure Split (North Wales)'!G$109)+(G$44*(-(50-$B10)*('Tenure Split (North Wales)'!G$110/40)))</f>
        <v>14710.922470967515</v>
      </c>
      <c r="J10" s="436"/>
      <c r="L10" s="64" t="str">
        <f t="shared" si="0"/>
        <v/>
      </c>
      <c r="M10" s="251"/>
      <c r="N10" s="37">
        <f t="shared" si="3"/>
        <v>1</v>
      </c>
      <c r="T10" s="1">
        <f t="shared" si="1"/>
        <v>16</v>
      </c>
      <c r="U10" s="4" t="str">
        <f t="shared" si="2"/>
        <v/>
      </c>
      <c r="V10" s="4" t="e">
        <f>IF($V$3=$M$3,M10,U10*(1+'Tenure Split (North Wales)'!C$109)+(U$44*(-(50-$T10)*('Tenure Split (North Wales)'!C$110/40))))</f>
        <v>#VALUE!</v>
      </c>
      <c r="W10" s="4" t="e">
        <f>V10*(1+'Tenure Split (North Wales)'!D$109)+(V$44*(-(50-$T10)*('Tenure Split (North Wales)'!D$110/40)))</f>
        <v>#VALUE!</v>
      </c>
      <c r="X10" s="4" t="e">
        <f>W10*(1+'Tenure Split (North Wales)'!E$109)+(W$44*(-(50-$T10)*('Tenure Split (North Wales)'!E$110/40)))</f>
        <v>#VALUE!</v>
      </c>
      <c r="Y10" s="4" t="e">
        <f>X10*(1+'Tenure Split (North Wales)'!F$109)+(X$44*(-(50-$T10)*('Tenure Split (North Wales)'!F$110/40)))</f>
        <v>#VALUE!</v>
      </c>
      <c r="Z10" s="4" t="e">
        <f>Y10*(1+'Tenure Split (North Wales)'!G$109)+(Y$44*(-(50-$T10)*('Tenure Split (North Wales)'!G$110/40)))</f>
        <v>#VALUE!</v>
      </c>
      <c r="AB10" s="1">
        <v>16</v>
      </c>
      <c r="AC10" s="4">
        <f>IF('Tenure Split (WALES)'!$D$8="WG Estimates",'Income (North Wales)'!D10,'Income (North Wales)'!V10)</f>
        <v>13766.567273246863</v>
      </c>
      <c r="AD10" s="4">
        <f>IF('Tenure Split (WALES)'!$D$8="WG Estimates",'Income (North Wales)'!E10,'Income (North Wales)'!W10)</f>
        <v>13896.412143169729</v>
      </c>
      <c r="AE10" s="4">
        <f>IF('Tenure Split (WALES)'!$D$8="WG Estimates",'Income (North Wales)'!F10,'Income (North Wales)'!X10)</f>
        <v>14122.384156348839</v>
      </c>
      <c r="AF10" s="4">
        <f>IF('Tenure Split (WALES)'!$D$8="WG Estimates",'Income (North Wales)'!G10,'Income (North Wales)'!Y10)</f>
        <v>14408.712159169729</v>
      </c>
      <c r="AG10" s="4">
        <f>IF('Tenure Split (WALES)'!$D$8="WG Estimates",'Income (North Wales)'!H10,'Income (North Wales)'!Z10)</f>
        <v>14710.922470967515</v>
      </c>
    </row>
    <row r="11" spans="2:33" x14ac:dyDescent="0.25">
      <c r="B11" s="20">
        <v>17</v>
      </c>
      <c r="C11" s="58">
        <v>13841</v>
      </c>
      <c r="D11" s="59">
        <f>C11*(1+'Tenure Split (North Wales)'!C$109)+(C$44*(-(50-$B11)*('Tenure Split (North Wales)'!C$110/40)))</f>
        <v>14120.571826532503</v>
      </c>
      <c r="E11" s="59">
        <f>D11*(1+'Tenure Split (North Wales)'!D$109)+(D$44*(-(50-$B11)*('Tenure Split (North Wales)'!D$110/40)))</f>
        <v>14266.110047507458</v>
      </c>
      <c r="F11" s="59">
        <f>E11*(1+'Tenure Split (North Wales)'!E$109)+(E$44*(-(50-$B11)*('Tenure Split (North Wales)'!E$110/40)))</f>
        <v>14510.970211044045</v>
      </c>
      <c r="G11" s="59">
        <f>F11*(1+'Tenure Split (North Wales)'!F$109)+(F$44*(-(50-$B11)*('Tenure Split (North Wales)'!F$110/40)))</f>
        <v>14818.691984108929</v>
      </c>
      <c r="H11" s="60">
        <f>G11*(1+'Tenure Split (North Wales)'!G$109)+(G$44*(-(50-$B11)*('Tenure Split (North Wales)'!G$110/40)))</f>
        <v>15143.748724882082</v>
      </c>
      <c r="L11" s="64" t="str">
        <f t="shared" si="0"/>
        <v/>
      </c>
      <c r="M11" s="251"/>
      <c r="N11" s="37">
        <f t="shared" si="3"/>
        <v>1</v>
      </c>
      <c r="T11" s="1">
        <f t="shared" si="1"/>
        <v>17</v>
      </c>
      <c r="U11" s="4" t="str">
        <f t="shared" si="2"/>
        <v/>
      </c>
      <c r="V11" s="4" t="e">
        <f>IF($V$3=$M$3,M11,U11*(1+'Tenure Split (North Wales)'!C$109)+(U$44*(-(50-$T11)*('Tenure Split (North Wales)'!C$110/40))))</f>
        <v>#VALUE!</v>
      </c>
      <c r="W11" s="4" t="e">
        <f>V11*(1+'Tenure Split (North Wales)'!D$109)+(V$44*(-(50-$T11)*('Tenure Split (North Wales)'!D$110/40)))</f>
        <v>#VALUE!</v>
      </c>
      <c r="X11" s="4" t="e">
        <f>W11*(1+'Tenure Split (North Wales)'!E$109)+(W$44*(-(50-$T11)*('Tenure Split (North Wales)'!E$110/40)))</f>
        <v>#VALUE!</v>
      </c>
      <c r="Y11" s="4" t="e">
        <f>X11*(1+'Tenure Split (North Wales)'!F$109)+(X$44*(-(50-$T11)*('Tenure Split (North Wales)'!F$110/40)))</f>
        <v>#VALUE!</v>
      </c>
      <c r="Z11" s="4" t="e">
        <f>Y11*(1+'Tenure Split (North Wales)'!G$109)+(Y$44*(-(50-$T11)*('Tenure Split (North Wales)'!G$110/40)))</f>
        <v>#VALUE!</v>
      </c>
      <c r="AB11" s="1">
        <v>17</v>
      </c>
      <c r="AC11" s="4">
        <f>IF('Tenure Split (WALES)'!$D$8="WG Estimates",'Income (North Wales)'!D11,'Income (North Wales)'!V11)</f>
        <v>14120.571826532503</v>
      </c>
      <c r="AD11" s="4">
        <f>IF('Tenure Split (WALES)'!$D$8="WG Estimates",'Income (North Wales)'!E11,'Income (North Wales)'!W11)</f>
        <v>14266.110047507458</v>
      </c>
      <c r="AE11" s="4">
        <f>IF('Tenure Split (WALES)'!$D$8="WG Estimates",'Income (North Wales)'!F11,'Income (North Wales)'!X11)</f>
        <v>14510.970211044045</v>
      </c>
      <c r="AF11" s="4">
        <f>IF('Tenure Split (WALES)'!$D$8="WG Estimates",'Income (North Wales)'!G11,'Income (North Wales)'!Y11)</f>
        <v>14818.691984108929</v>
      </c>
      <c r="AG11" s="4">
        <f>IF('Tenure Split (WALES)'!$D$8="WG Estimates",'Income (North Wales)'!H11,'Income (North Wales)'!Z11)</f>
        <v>15143.748724882082</v>
      </c>
    </row>
    <row r="12" spans="2:33" x14ac:dyDescent="0.25">
      <c r="B12" s="20">
        <v>18</v>
      </c>
      <c r="C12" s="58">
        <v>14160.76</v>
      </c>
      <c r="D12" s="59">
        <f>C12*(1+'Tenure Split (North Wales)'!C$109)+(C$44*(-(50-$B12)*('Tenure Split (North Wales)'!C$110/40)))</f>
        <v>14458.010342015636</v>
      </c>
      <c r="E12" s="59">
        <f>D12*(1+'Tenure Split (North Wales)'!D$109)+(D$44*(-(50-$B12)*('Tenure Split (North Wales)'!D$110/40)))</f>
        <v>14618.815981422942</v>
      </c>
      <c r="F12" s="59">
        <f>E12*(1+'Tenure Split (North Wales)'!E$109)+(E$44*(-(50-$B12)*('Tenure Split (North Wales)'!E$110/40)))</f>
        <v>14882.006907514977</v>
      </c>
      <c r="G12" s="59">
        <f>F12*(1+'Tenure Split (North Wales)'!F$109)+(F$44*(-(50-$B12)*('Tenure Split (North Wales)'!F$110/40)))</f>
        <v>15210.471617912204</v>
      </c>
      <c r="H12" s="60">
        <f>G12*(1+'Tenure Split (North Wales)'!G$109)+(G$44*(-(50-$B12)*('Tenure Split (North Wales)'!G$110/40)))</f>
        <v>15557.682047925873</v>
      </c>
      <c r="L12" s="64" t="str">
        <f t="shared" si="0"/>
        <v/>
      </c>
      <c r="M12" s="251"/>
      <c r="N12" s="37">
        <f t="shared" si="3"/>
        <v>1</v>
      </c>
      <c r="T12" s="1">
        <f t="shared" si="1"/>
        <v>18</v>
      </c>
      <c r="U12" s="4" t="str">
        <f t="shared" si="2"/>
        <v/>
      </c>
      <c r="V12" s="4" t="e">
        <f>IF($V$3=$M$3,M12,U12*(1+'Tenure Split (North Wales)'!C$109)+(U$44*(-(50-$T12)*('Tenure Split (North Wales)'!C$110/40))))</f>
        <v>#VALUE!</v>
      </c>
      <c r="W12" s="4" t="e">
        <f>V12*(1+'Tenure Split (North Wales)'!D$109)+(V$44*(-(50-$T12)*('Tenure Split (North Wales)'!D$110/40)))</f>
        <v>#VALUE!</v>
      </c>
      <c r="X12" s="4" t="e">
        <f>W12*(1+'Tenure Split (North Wales)'!E$109)+(W$44*(-(50-$T12)*('Tenure Split (North Wales)'!E$110/40)))</f>
        <v>#VALUE!</v>
      </c>
      <c r="Y12" s="4" t="e">
        <f>X12*(1+'Tenure Split (North Wales)'!F$109)+(X$44*(-(50-$T12)*('Tenure Split (North Wales)'!F$110/40)))</f>
        <v>#VALUE!</v>
      </c>
      <c r="Z12" s="4" t="e">
        <f>Y12*(1+'Tenure Split (North Wales)'!G$109)+(Y$44*(-(50-$T12)*('Tenure Split (North Wales)'!G$110/40)))</f>
        <v>#VALUE!</v>
      </c>
      <c r="AB12" s="1">
        <v>18</v>
      </c>
      <c r="AC12" s="4">
        <f>IF('Tenure Split (WALES)'!$D$8="WG Estimates",'Income (North Wales)'!D12,'Income (North Wales)'!V12)</f>
        <v>14458.010342015636</v>
      </c>
      <c r="AD12" s="4">
        <f>IF('Tenure Split (WALES)'!$D$8="WG Estimates",'Income (North Wales)'!E12,'Income (North Wales)'!W12)</f>
        <v>14618.815981422942</v>
      </c>
      <c r="AE12" s="4">
        <f>IF('Tenure Split (WALES)'!$D$8="WG Estimates",'Income (North Wales)'!F12,'Income (North Wales)'!X12)</f>
        <v>14882.006907514977</v>
      </c>
      <c r="AF12" s="4">
        <f>IF('Tenure Split (WALES)'!$D$8="WG Estimates",'Income (North Wales)'!G12,'Income (North Wales)'!Y12)</f>
        <v>15210.471617912204</v>
      </c>
      <c r="AG12" s="4">
        <f>IF('Tenure Split (WALES)'!$D$8="WG Estimates",'Income (North Wales)'!H12,'Income (North Wales)'!Z12)</f>
        <v>15557.682047925873</v>
      </c>
    </row>
    <row r="13" spans="2:33" x14ac:dyDescent="0.25">
      <c r="B13" s="20">
        <v>19</v>
      </c>
      <c r="C13" s="58">
        <v>14500.19</v>
      </c>
      <c r="D13" s="59">
        <f>C13*(1+'Tenure Split (North Wales)'!C$109)+(C$44*(-(50-$B13)*('Tenure Split (North Wales)'!C$110/40)))</f>
        <v>14815.814730222228</v>
      </c>
      <c r="E13" s="59">
        <f>D13*(1+'Tenure Split (North Wales)'!D$109)+(D$44*(-(50-$B13)*('Tenure Split (North Wales)'!D$110/40)))</f>
        <v>14992.411418976275</v>
      </c>
      <c r="F13" s="59">
        <f>E13*(1+'Tenure Split (North Wales)'!E$109)+(E$44*(-(50-$B13)*('Tenure Split (North Wales)'!E$110/40)))</f>
        <v>15274.618346252877</v>
      </c>
      <c r="G13" s="59">
        <f>F13*(1+'Tenure Split (North Wales)'!F$109)+(F$44*(-(50-$B13)*('Tenure Split (North Wales)'!F$110/40)))</f>
        <v>15624.626111693207</v>
      </c>
      <c r="H13" s="60">
        <f>G13*(1+'Tenure Split (North Wales)'!G$109)+(G$44*(-(50-$B13)*('Tenure Split (North Wales)'!G$110/40)))</f>
        <v>15994.841867858922</v>
      </c>
      <c r="L13" s="64" t="str">
        <f t="shared" si="0"/>
        <v/>
      </c>
      <c r="M13" s="251"/>
      <c r="N13" s="37">
        <f t="shared" si="3"/>
        <v>1</v>
      </c>
      <c r="T13" s="1">
        <f t="shared" si="1"/>
        <v>19</v>
      </c>
      <c r="U13" s="4" t="str">
        <f t="shared" si="2"/>
        <v/>
      </c>
      <c r="V13" s="4" t="e">
        <f>IF($V$3=$M$3,M13,U13*(1+'Tenure Split (North Wales)'!C$109)+(U$44*(-(50-$T13)*('Tenure Split (North Wales)'!C$110/40))))</f>
        <v>#VALUE!</v>
      </c>
      <c r="W13" s="4" t="e">
        <f>V13*(1+'Tenure Split (North Wales)'!D$109)+(V$44*(-(50-$T13)*('Tenure Split (North Wales)'!D$110/40)))</f>
        <v>#VALUE!</v>
      </c>
      <c r="X13" s="4" t="e">
        <f>W13*(1+'Tenure Split (North Wales)'!E$109)+(W$44*(-(50-$T13)*('Tenure Split (North Wales)'!E$110/40)))</f>
        <v>#VALUE!</v>
      </c>
      <c r="Y13" s="4" t="e">
        <f>X13*(1+'Tenure Split (North Wales)'!F$109)+(X$44*(-(50-$T13)*('Tenure Split (North Wales)'!F$110/40)))</f>
        <v>#VALUE!</v>
      </c>
      <c r="Z13" s="4" t="e">
        <f>Y13*(1+'Tenure Split (North Wales)'!G$109)+(Y$44*(-(50-$T13)*('Tenure Split (North Wales)'!G$110/40)))</f>
        <v>#VALUE!</v>
      </c>
      <c r="AB13" s="1">
        <v>19</v>
      </c>
      <c r="AC13" s="4">
        <f>IF('Tenure Split (WALES)'!$D$8="WG Estimates",'Income (North Wales)'!D13,'Income (North Wales)'!V13)</f>
        <v>14815.814730222228</v>
      </c>
      <c r="AD13" s="4">
        <f>IF('Tenure Split (WALES)'!$D$8="WG Estimates",'Income (North Wales)'!E13,'Income (North Wales)'!W13)</f>
        <v>14992.411418976275</v>
      </c>
      <c r="AE13" s="4">
        <f>IF('Tenure Split (WALES)'!$D$8="WG Estimates",'Income (North Wales)'!F13,'Income (North Wales)'!X13)</f>
        <v>15274.618346252877</v>
      </c>
      <c r="AF13" s="4">
        <f>IF('Tenure Split (WALES)'!$D$8="WG Estimates",'Income (North Wales)'!G13,'Income (North Wales)'!Y13)</f>
        <v>15624.626111693207</v>
      </c>
      <c r="AG13" s="4">
        <f>IF('Tenure Split (WALES)'!$D$8="WG Estimates",'Income (North Wales)'!H13,'Income (North Wales)'!Z13)</f>
        <v>15994.841867858922</v>
      </c>
    </row>
    <row r="14" spans="2:33" x14ac:dyDescent="0.25">
      <c r="B14" s="20">
        <v>20</v>
      </c>
      <c r="C14" s="58">
        <v>14820</v>
      </c>
      <c r="D14" s="59">
        <f>C14*(1+'Tenure Split (North Wales)'!C$109)+(C$44*(-(50-$B14)*('Tenure Split (North Wales)'!C$110/40)))</f>
        <v>15153.305014573492</v>
      </c>
      <c r="E14" s="59">
        <f>D14*(1+'Tenure Split (North Wales)'!D$109)+(D$44*(-(50-$B14)*('Tenure Split (North Wales)'!D$110/40)))</f>
        <v>15345.170452799328</v>
      </c>
      <c r="F14" s="59">
        <f>E14*(1+'Tenure Split (North Wales)'!E$109)+(E$44*(-(50-$B14)*('Tenure Split (North Wales)'!E$110/40)))</f>
        <v>15645.70988446826</v>
      </c>
      <c r="G14" s="59">
        <f>F14*(1+'Tenure Split (North Wales)'!F$109)+(F$44*(-(50-$B14)*('Tenure Split (North Wales)'!F$110/40)))</f>
        <v>16016.462621093784</v>
      </c>
      <c r="H14" s="60">
        <f>G14*(1+'Tenure Split (North Wales)'!G$109)+(G$44*(-(50-$B14)*('Tenure Split (North Wales)'!G$110/40)))</f>
        <v>16408.834231311688</v>
      </c>
      <c r="L14" s="64" t="str">
        <f t="shared" si="0"/>
        <v/>
      </c>
      <c r="M14" s="251"/>
      <c r="N14" s="37">
        <f t="shared" si="3"/>
        <v>1</v>
      </c>
      <c r="T14" s="1">
        <f t="shared" si="1"/>
        <v>20</v>
      </c>
      <c r="U14" s="4" t="str">
        <f t="shared" si="2"/>
        <v/>
      </c>
      <c r="V14" s="4" t="e">
        <f>IF($V$3=$M$3,M14,U14*(1+'Tenure Split (North Wales)'!C$109)+(U$44*(-(50-$T14)*('Tenure Split (North Wales)'!C$110/40))))</f>
        <v>#VALUE!</v>
      </c>
      <c r="W14" s="4" t="e">
        <f>V14*(1+'Tenure Split (North Wales)'!D$109)+(V$44*(-(50-$T14)*('Tenure Split (North Wales)'!D$110/40)))</f>
        <v>#VALUE!</v>
      </c>
      <c r="X14" s="4" t="e">
        <f>W14*(1+'Tenure Split (North Wales)'!E$109)+(W$44*(-(50-$T14)*('Tenure Split (North Wales)'!E$110/40)))</f>
        <v>#VALUE!</v>
      </c>
      <c r="Y14" s="4" t="e">
        <f>X14*(1+'Tenure Split (North Wales)'!F$109)+(X$44*(-(50-$T14)*('Tenure Split (North Wales)'!F$110/40)))</f>
        <v>#VALUE!</v>
      </c>
      <c r="Z14" s="4" t="e">
        <f>Y14*(1+'Tenure Split (North Wales)'!G$109)+(Y$44*(-(50-$T14)*('Tenure Split (North Wales)'!G$110/40)))</f>
        <v>#VALUE!</v>
      </c>
      <c r="AB14" s="1">
        <v>20</v>
      </c>
      <c r="AC14" s="4">
        <f>IF('Tenure Split (WALES)'!$D$8="WG Estimates",'Income (North Wales)'!D14,'Income (North Wales)'!V14)</f>
        <v>15153.305014573492</v>
      </c>
      <c r="AD14" s="4">
        <f>IF('Tenure Split (WALES)'!$D$8="WG Estimates",'Income (North Wales)'!E14,'Income (North Wales)'!W14)</f>
        <v>15345.170452799328</v>
      </c>
      <c r="AE14" s="4">
        <f>IF('Tenure Split (WALES)'!$D$8="WG Estimates",'Income (North Wales)'!F14,'Income (North Wales)'!X14)</f>
        <v>15645.70988446826</v>
      </c>
      <c r="AF14" s="4">
        <f>IF('Tenure Split (WALES)'!$D$8="WG Estimates",'Income (North Wales)'!G14,'Income (North Wales)'!Y14)</f>
        <v>16016.462621093784</v>
      </c>
      <c r="AG14" s="4">
        <f>IF('Tenure Split (WALES)'!$D$8="WG Estimates",'Income (North Wales)'!H14,'Income (North Wales)'!Z14)</f>
        <v>16408.834231311688</v>
      </c>
    </row>
    <row r="15" spans="2:33" x14ac:dyDescent="0.25">
      <c r="B15" s="20">
        <v>21</v>
      </c>
      <c r="C15" s="58">
        <v>14970.1</v>
      </c>
      <c r="D15" s="59">
        <f>C15*(1+'Tenure Split (North Wales)'!C$109)+(C$44*(-(50-$B15)*('Tenure Split (North Wales)'!C$110/40)))</f>
        <v>15315.081406708276</v>
      </c>
      <c r="E15" s="59">
        <f>D15*(1+'Tenure Split (North Wales)'!D$109)+(D$44*(-(50-$B15)*('Tenure Split (North Wales)'!D$110/40)))</f>
        <v>15517.697780349914</v>
      </c>
      <c r="F15" s="59">
        <f>E15*(1+'Tenure Split (North Wales)'!E$109)+(E$44*(-(50-$B15)*('Tenure Split (North Wales)'!E$110/40)))</f>
        <v>15830.657573668555</v>
      </c>
      <c r="G15" s="59">
        <f>F15*(1+'Tenure Split (North Wales)'!F$109)+(F$44*(-(50-$B15)*('Tenure Split (North Wales)'!F$110/40)))</f>
        <v>16215.251978139511</v>
      </c>
      <c r="H15" s="60">
        <f>G15*(1+'Tenure Split (North Wales)'!G$109)+(G$44*(-(50-$B15)*('Tenure Split (North Wales)'!G$110/40)))</f>
        <v>16622.43163863452</v>
      </c>
      <c r="L15" s="64" t="str">
        <f t="shared" si="0"/>
        <v/>
      </c>
      <c r="M15" s="251"/>
      <c r="N15" s="37">
        <f t="shared" si="3"/>
        <v>1</v>
      </c>
      <c r="T15" s="1">
        <f t="shared" si="1"/>
        <v>21</v>
      </c>
      <c r="U15" s="4" t="str">
        <f t="shared" si="2"/>
        <v/>
      </c>
      <c r="V15" s="4" t="e">
        <f>IF($V$3=$M$3,M15,U15*(1+'Tenure Split (North Wales)'!C$109)+(U$44*(-(50-$T15)*('Tenure Split (North Wales)'!C$110/40))))</f>
        <v>#VALUE!</v>
      </c>
      <c r="W15" s="4" t="e">
        <f>V15*(1+'Tenure Split (North Wales)'!D$109)+(V$44*(-(50-$T15)*('Tenure Split (North Wales)'!D$110/40)))</f>
        <v>#VALUE!</v>
      </c>
      <c r="X15" s="4" t="e">
        <f>W15*(1+'Tenure Split (North Wales)'!E$109)+(W$44*(-(50-$T15)*('Tenure Split (North Wales)'!E$110/40)))</f>
        <v>#VALUE!</v>
      </c>
      <c r="Y15" s="4" t="e">
        <f>X15*(1+'Tenure Split (North Wales)'!F$109)+(X$44*(-(50-$T15)*('Tenure Split (North Wales)'!F$110/40)))</f>
        <v>#VALUE!</v>
      </c>
      <c r="Z15" s="4" t="e">
        <f>Y15*(1+'Tenure Split (North Wales)'!G$109)+(Y$44*(-(50-$T15)*('Tenure Split (North Wales)'!G$110/40)))</f>
        <v>#VALUE!</v>
      </c>
      <c r="AB15" s="1">
        <v>21</v>
      </c>
      <c r="AC15" s="4">
        <f>IF('Tenure Split (WALES)'!$D$8="WG Estimates",'Income (North Wales)'!D15,'Income (North Wales)'!V15)</f>
        <v>15315.081406708276</v>
      </c>
      <c r="AD15" s="4">
        <f>IF('Tenure Split (WALES)'!$D$8="WG Estimates",'Income (North Wales)'!E15,'Income (North Wales)'!W15)</f>
        <v>15517.697780349914</v>
      </c>
      <c r="AE15" s="4">
        <f>IF('Tenure Split (WALES)'!$D$8="WG Estimates",'Income (North Wales)'!F15,'Income (North Wales)'!X15)</f>
        <v>15830.657573668555</v>
      </c>
      <c r="AF15" s="4">
        <f>IF('Tenure Split (WALES)'!$D$8="WG Estimates",'Income (North Wales)'!G15,'Income (North Wales)'!Y15)</f>
        <v>16215.251978139511</v>
      </c>
      <c r="AG15" s="4">
        <f>IF('Tenure Split (WALES)'!$D$8="WG Estimates",'Income (North Wales)'!H15,'Income (North Wales)'!Z15)</f>
        <v>16622.43163863452</v>
      </c>
    </row>
    <row r="16" spans="2:33" x14ac:dyDescent="0.25">
      <c r="B16" s="20">
        <v>22</v>
      </c>
      <c r="C16" s="58">
        <v>14970.1</v>
      </c>
      <c r="D16" s="59">
        <f>C16*(1+'Tenure Split (North Wales)'!C$109)+(C$44*(-(50-$B16)*('Tenure Split (North Wales)'!C$110/40)))</f>
        <v>15321.447656708277</v>
      </c>
      <c r="E16" s="59">
        <f>D16*(1+'Tenure Split (North Wales)'!D$109)+(D$44*(-(50-$B16)*('Tenure Split (North Wales)'!D$110/40)))</f>
        <v>15530.819185376798</v>
      </c>
      <c r="F16" s="59">
        <f>E16*(1+'Tenure Split (North Wales)'!E$109)+(E$44*(-(50-$B16)*('Tenure Split (North Wales)'!E$110/40)))</f>
        <v>15850.970346027385</v>
      </c>
      <c r="G16" s="59">
        <f>F16*(1+'Tenure Split (North Wales)'!F$109)+(F$44*(-(50-$B16)*('Tenure Split (North Wales)'!F$110/40)))</f>
        <v>16243.300792091359</v>
      </c>
      <c r="H16" s="60">
        <f>G16*(1+'Tenure Split (North Wales)'!G$109)+(G$44*(-(50-$B16)*('Tenure Split (North Wales)'!G$110/40)))</f>
        <v>16658.789738225918</v>
      </c>
      <c r="L16" s="64" t="str">
        <f t="shared" si="0"/>
        <v/>
      </c>
      <c r="M16" s="251"/>
      <c r="N16" s="37">
        <f t="shared" si="3"/>
        <v>1</v>
      </c>
      <c r="T16" s="1">
        <f t="shared" si="1"/>
        <v>22</v>
      </c>
      <c r="U16" s="4" t="str">
        <f t="shared" si="2"/>
        <v/>
      </c>
      <c r="V16" s="4" t="e">
        <f>IF($V$3=$M$3,M16,U16*(1+'Tenure Split (North Wales)'!C$109)+(U$44*(-(50-$T16)*('Tenure Split (North Wales)'!C$110/40))))</f>
        <v>#VALUE!</v>
      </c>
      <c r="W16" s="4" t="e">
        <f>V16*(1+'Tenure Split (North Wales)'!D$109)+(V$44*(-(50-$T16)*('Tenure Split (North Wales)'!D$110/40)))</f>
        <v>#VALUE!</v>
      </c>
      <c r="X16" s="4" t="e">
        <f>W16*(1+'Tenure Split (North Wales)'!E$109)+(W$44*(-(50-$T16)*('Tenure Split (North Wales)'!E$110/40)))</f>
        <v>#VALUE!</v>
      </c>
      <c r="Y16" s="4" t="e">
        <f>X16*(1+'Tenure Split (North Wales)'!F$109)+(X$44*(-(50-$T16)*('Tenure Split (North Wales)'!F$110/40)))</f>
        <v>#VALUE!</v>
      </c>
      <c r="Z16" s="4" t="e">
        <f>Y16*(1+'Tenure Split (North Wales)'!G$109)+(Y$44*(-(50-$T16)*('Tenure Split (North Wales)'!G$110/40)))</f>
        <v>#VALUE!</v>
      </c>
      <c r="AB16" s="1">
        <v>22</v>
      </c>
      <c r="AC16" s="4">
        <f>IF('Tenure Split (WALES)'!$D$8="WG Estimates",'Income (North Wales)'!D16,'Income (North Wales)'!V16)</f>
        <v>15321.447656708277</v>
      </c>
      <c r="AD16" s="4">
        <f>IF('Tenure Split (WALES)'!$D$8="WG Estimates",'Income (North Wales)'!E16,'Income (North Wales)'!W16)</f>
        <v>15530.819185376798</v>
      </c>
      <c r="AE16" s="4">
        <f>IF('Tenure Split (WALES)'!$D$8="WG Estimates",'Income (North Wales)'!F16,'Income (North Wales)'!X16)</f>
        <v>15850.970346027385</v>
      </c>
      <c r="AF16" s="4">
        <f>IF('Tenure Split (WALES)'!$D$8="WG Estimates",'Income (North Wales)'!G16,'Income (North Wales)'!Y16)</f>
        <v>16243.300792091359</v>
      </c>
      <c r="AG16" s="4">
        <f>IF('Tenure Split (WALES)'!$D$8="WG Estimates",'Income (North Wales)'!H16,'Income (North Wales)'!Z16)</f>
        <v>16658.789738225918</v>
      </c>
    </row>
    <row r="17" spans="2:33" x14ac:dyDescent="0.25">
      <c r="B17" s="20">
        <v>23</v>
      </c>
      <c r="C17" s="58">
        <v>15070.1</v>
      </c>
      <c r="D17" s="59">
        <f>C17*(1+'Tenure Split (North Wales)'!C$109)+(C$44*(-(50-$B17)*('Tenure Split (North Wales)'!C$110/40)))</f>
        <v>15431.351642973952</v>
      </c>
      <c r="E17" s="59">
        <f>D17*(1+'Tenure Split (North Wales)'!D$109)+(D$44*(-(50-$B17)*('Tenure Split (North Wales)'!D$110/40)))</f>
        <v>15650.140405542723</v>
      </c>
      <c r="F17" s="59">
        <f>E17*(1+'Tenure Split (North Wales)'!E$109)+(E$44*(-(50-$B17)*('Tenure Split (North Wales)'!E$110/40)))</f>
        <v>15980.966607287923</v>
      </c>
      <c r="G17" s="59">
        <f>F17*(1+'Tenure Split (North Wales)'!F$109)+(F$44*(-(50-$B17)*('Tenure Split (North Wales)'!F$110/40)))</f>
        <v>16385.100800642722</v>
      </c>
      <c r="H17" s="60">
        <f>G17*(1+'Tenure Split (North Wales)'!G$109)+(G$44*(-(50-$B17)*('Tenure Split (North Wales)'!G$110/40)))</f>
        <v>16813.228655759638</v>
      </c>
      <c r="L17" s="64" t="str">
        <f t="shared" si="0"/>
        <v/>
      </c>
      <c r="M17" s="251"/>
      <c r="N17" s="37">
        <f t="shared" si="3"/>
        <v>1</v>
      </c>
      <c r="T17" s="1">
        <f t="shared" si="1"/>
        <v>23</v>
      </c>
      <c r="U17" s="4" t="str">
        <f t="shared" si="2"/>
        <v/>
      </c>
      <c r="V17" s="4" t="e">
        <f>IF($V$3=$M$3,M17,U17*(1+'Tenure Split (North Wales)'!C$109)+(U$44*(-(50-$T17)*('Tenure Split (North Wales)'!C$110/40))))</f>
        <v>#VALUE!</v>
      </c>
      <c r="W17" s="4" t="e">
        <f>V17*(1+'Tenure Split (North Wales)'!D$109)+(V$44*(-(50-$T17)*('Tenure Split (North Wales)'!D$110/40)))</f>
        <v>#VALUE!</v>
      </c>
      <c r="X17" s="4" t="e">
        <f>W17*(1+'Tenure Split (North Wales)'!E$109)+(W$44*(-(50-$T17)*('Tenure Split (North Wales)'!E$110/40)))</f>
        <v>#VALUE!</v>
      </c>
      <c r="Y17" s="4" t="e">
        <f>X17*(1+'Tenure Split (North Wales)'!F$109)+(X$44*(-(50-$T17)*('Tenure Split (North Wales)'!F$110/40)))</f>
        <v>#VALUE!</v>
      </c>
      <c r="Z17" s="4" t="e">
        <f>Y17*(1+'Tenure Split (North Wales)'!G$109)+(Y$44*(-(50-$T17)*('Tenure Split (North Wales)'!G$110/40)))</f>
        <v>#VALUE!</v>
      </c>
      <c r="AB17" s="1">
        <v>23</v>
      </c>
      <c r="AC17" s="4">
        <f>IF('Tenure Split (WALES)'!$D$8="WG Estimates",'Income (North Wales)'!D17,'Income (North Wales)'!V17)</f>
        <v>15431.351642973952</v>
      </c>
      <c r="AD17" s="4">
        <f>IF('Tenure Split (WALES)'!$D$8="WG Estimates",'Income (North Wales)'!E17,'Income (North Wales)'!W17)</f>
        <v>15650.140405542723</v>
      </c>
      <c r="AE17" s="4">
        <f>IF('Tenure Split (WALES)'!$D$8="WG Estimates",'Income (North Wales)'!F17,'Income (North Wales)'!X17)</f>
        <v>15980.966607287923</v>
      </c>
      <c r="AF17" s="4">
        <f>IF('Tenure Split (WALES)'!$D$8="WG Estimates",'Income (North Wales)'!G17,'Income (North Wales)'!Y17)</f>
        <v>16385.100800642722</v>
      </c>
      <c r="AG17" s="4">
        <f>IF('Tenure Split (WALES)'!$D$8="WG Estimates",'Income (North Wales)'!H17,'Income (North Wales)'!Z17)</f>
        <v>16813.228655759638</v>
      </c>
    </row>
    <row r="18" spans="2:33" x14ac:dyDescent="0.25">
      <c r="B18" s="20">
        <v>24</v>
      </c>
      <c r="C18" s="58">
        <v>15137.5</v>
      </c>
      <c r="D18" s="59">
        <f>C18*(1+'Tenure Split (North Wales)'!C$109)+(C$44*(-(50-$B18)*('Tenure Split (North Wales)'!C$110/40)))</f>
        <v>15507.50232721702</v>
      </c>
      <c r="E18" s="59">
        <f>D18*(1+'Tenure Split (North Wales)'!D$109)+(D$44*(-(50-$B18)*('Tenure Split (North Wales)'!D$110/40)))</f>
        <v>15734.840485973324</v>
      </c>
      <c r="F18" s="59">
        <f>E18*(1+'Tenure Split (North Wales)'!E$109)+(E$44*(-(50-$B18)*('Tenure Split (North Wales)'!E$110/40)))</f>
        <v>16075.206051166504</v>
      </c>
      <c r="G18" s="59">
        <f>F18*(1+'Tenure Split (North Wales)'!F$109)+(F$44*(-(50-$B18)*('Tenure Split (North Wales)'!F$110/40)))</f>
        <v>16489.817919754645</v>
      </c>
      <c r="H18" s="60">
        <f>G18*(1+'Tenure Split (North Wales)'!G$109)+(G$44*(-(50-$B18)*('Tenure Split (North Wales)'!G$110/40)))</f>
        <v>16929.173226644165</v>
      </c>
      <c r="L18" s="64" t="str">
        <f t="shared" si="0"/>
        <v/>
      </c>
      <c r="M18" s="251"/>
      <c r="N18" s="37">
        <f t="shared" si="3"/>
        <v>1</v>
      </c>
      <c r="T18" s="1">
        <f t="shared" si="1"/>
        <v>24</v>
      </c>
      <c r="U18" s="4" t="str">
        <f t="shared" si="2"/>
        <v/>
      </c>
      <c r="V18" s="4" t="e">
        <f>IF($V$3=$M$3,M18,U18*(1+'Tenure Split (North Wales)'!C$109)+(U$44*(-(50-$T18)*('Tenure Split (North Wales)'!C$110/40))))</f>
        <v>#VALUE!</v>
      </c>
      <c r="W18" s="4" t="e">
        <f>V18*(1+'Tenure Split (North Wales)'!D$109)+(V$44*(-(50-$T18)*('Tenure Split (North Wales)'!D$110/40)))</f>
        <v>#VALUE!</v>
      </c>
      <c r="X18" s="4" t="e">
        <f>W18*(1+'Tenure Split (North Wales)'!E$109)+(W$44*(-(50-$T18)*('Tenure Split (North Wales)'!E$110/40)))</f>
        <v>#VALUE!</v>
      </c>
      <c r="Y18" s="4" t="e">
        <f>X18*(1+'Tenure Split (North Wales)'!F$109)+(X$44*(-(50-$T18)*('Tenure Split (North Wales)'!F$110/40)))</f>
        <v>#VALUE!</v>
      </c>
      <c r="Z18" s="4" t="e">
        <f>Y18*(1+'Tenure Split (North Wales)'!G$109)+(Y$44*(-(50-$T18)*('Tenure Split (North Wales)'!G$110/40)))</f>
        <v>#VALUE!</v>
      </c>
      <c r="AB18" s="1">
        <v>24</v>
      </c>
      <c r="AC18" s="4">
        <f>IF('Tenure Split (WALES)'!$D$8="WG Estimates",'Income (North Wales)'!D18,'Income (North Wales)'!V18)</f>
        <v>15507.50232721702</v>
      </c>
      <c r="AD18" s="4">
        <f>IF('Tenure Split (WALES)'!$D$8="WG Estimates",'Income (North Wales)'!E18,'Income (North Wales)'!W18)</f>
        <v>15734.840485973324</v>
      </c>
      <c r="AE18" s="4">
        <f>IF('Tenure Split (WALES)'!$D$8="WG Estimates",'Income (North Wales)'!F18,'Income (North Wales)'!X18)</f>
        <v>16075.206051166504</v>
      </c>
      <c r="AF18" s="4">
        <f>IF('Tenure Split (WALES)'!$D$8="WG Estimates",'Income (North Wales)'!G18,'Income (North Wales)'!Y18)</f>
        <v>16489.817919754645</v>
      </c>
      <c r="AG18" s="4">
        <f>IF('Tenure Split (WALES)'!$D$8="WG Estimates",'Income (North Wales)'!H18,'Income (North Wales)'!Z18)</f>
        <v>16929.173226644165</v>
      </c>
    </row>
    <row r="19" spans="2:33" x14ac:dyDescent="0.25">
      <c r="B19" s="20">
        <v>25</v>
      </c>
      <c r="C19" s="58">
        <v>15434.5</v>
      </c>
      <c r="D19" s="59">
        <f>C19*(1+'Tenure Split (North Wales)'!C$109)+(C$44*(-(50-$B19)*('Tenure Split (North Wales)'!C$110/40)))</f>
        <v>15821.375653926083</v>
      </c>
      <c r="E19" s="59">
        <f>D19*(1+'Tenure Split (North Wales)'!D$109)+(D$44*(-(50-$B19)*('Tenure Split (North Wales)'!D$110/40)))</f>
        <v>16063.375341963161</v>
      </c>
      <c r="F19" s="59">
        <f>E19*(1+'Tenure Split (North Wales)'!E$109)+(E$44*(-(50-$B19)*('Tenure Split (North Wales)'!E$110/40)))</f>
        <v>16421.278785563409</v>
      </c>
      <c r="G19" s="59">
        <f>F19*(1+'Tenure Split (North Wales)'!F$109)+(F$44*(-(50-$B19)*('Tenure Split (North Wales)'!F$110/40)))</f>
        <v>16855.707781667075</v>
      </c>
      <c r="H19" s="60">
        <f>G19*(1+'Tenure Split (North Wales)'!G$109)+(G$44*(-(50-$B19)*('Tenure Split (North Wales)'!G$110/40)))</f>
        <v>17316.231355524287</v>
      </c>
      <c r="L19" s="64" t="str">
        <f t="shared" si="0"/>
        <v/>
      </c>
      <c r="M19" s="251"/>
      <c r="N19" s="37">
        <f t="shared" si="3"/>
        <v>1</v>
      </c>
      <c r="T19" s="1">
        <f t="shared" si="1"/>
        <v>25</v>
      </c>
      <c r="U19" s="4" t="str">
        <f t="shared" si="2"/>
        <v/>
      </c>
      <c r="V19" s="4" t="e">
        <f>IF($V$3=$M$3,M19,U19*(1+'Tenure Split (North Wales)'!C$109)+(U$44*(-(50-$T19)*('Tenure Split (North Wales)'!C$110/40))))</f>
        <v>#VALUE!</v>
      </c>
      <c r="W19" s="4" t="e">
        <f>V19*(1+'Tenure Split (North Wales)'!D$109)+(V$44*(-(50-$T19)*('Tenure Split (North Wales)'!D$110/40)))</f>
        <v>#VALUE!</v>
      </c>
      <c r="X19" s="4" t="e">
        <f>W19*(1+'Tenure Split (North Wales)'!E$109)+(W$44*(-(50-$T19)*('Tenure Split (North Wales)'!E$110/40)))</f>
        <v>#VALUE!</v>
      </c>
      <c r="Y19" s="4" t="e">
        <f>X19*(1+'Tenure Split (North Wales)'!F$109)+(X$44*(-(50-$T19)*('Tenure Split (North Wales)'!F$110/40)))</f>
        <v>#VALUE!</v>
      </c>
      <c r="Z19" s="4" t="e">
        <f>Y19*(1+'Tenure Split (North Wales)'!G$109)+(Y$44*(-(50-$T19)*('Tenure Split (North Wales)'!G$110/40)))</f>
        <v>#VALUE!</v>
      </c>
      <c r="AB19" s="1">
        <v>25</v>
      </c>
      <c r="AC19" s="4">
        <f>IF('Tenure Split (WALES)'!$D$8="WG Estimates",'Income (North Wales)'!D19,'Income (North Wales)'!V19)</f>
        <v>15821.375653926083</v>
      </c>
      <c r="AD19" s="4">
        <f>IF('Tenure Split (WALES)'!$D$8="WG Estimates",'Income (North Wales)'!E19,'Income (North Wales)'!W19)</f>
        <v>16063.375341963161</v>
      </c>
      <c r="AE19" s="4">
        <f>IF('Tenure Split (WALES)'!$D$8="WG Estimates",'Income (North Wales)'!F19,'Income (North Wales)'!X19)</f>
        <v>16421.278785563409</v>
      </c>
      <c r="AF19" s="4">
        <f>IF('Tenure Split (WALES)'!$D$8="WG Estimates",'Income (North Wales)'!G19,'Income (North Wales)'!Y19)</f>
        <v>16855.707781667075</v>
      </c>
      <c r="AG19" s="4">
        <f>IF('Tenure Split (WALES)'!$D$8="WG Estimates",'Income (North Wales)'!H19,'Income (North Wales)'!Z19)</f>
        <v>17316.231355524287</v>
      </c>
    </row>
    <row r="20" spans="2:33" x14ac:dyDescent="0.25">
      <c r="B20" s="20">
        <v>26</v>
      </c>
      <c r="C20" s="58">
        <v>15709.6</v>
      </c>
      <c r="D20" s="59">
        <f>C20*(1+'Tenure Split (North Wales)'!C$109)+(C$44*(-(50-$B20)*('Tenure Split (North Wales)'!C$110/40)))</f>
        <v>16112.574216392963</v>
      </c>
      <c r="E20" s="59">
        <f>D20*(1+'Tenure Split (North Wales)'!D$109)+(D$44*(-(50-$B20)*('Tenure Split (North Wales)'!D$110/40)))</f>
        <v>16368.652438437548</v>
      </c>
      <c r="F20" s="59">
        <f>E20*(1+'Tenure Split (North Wales)'!E$109)+(E$44*(-(50-$B20)*('Tenure Split (North Wales)'!E$110/40)))</f>
        <v>16743.330835890836</v>
      </c>
      <c r="G20" s="59">
        <f>F20*(1+'Tenure Split (North Wales)'!F$109)+(F$44*(-(50-$B20)*('Tenure Split (North Wales)'!F$110/40)))</f>
        <v>17196.6861319622</v>
      </c>
      <c r="H20" s="60">
        <f>G20*(1+'Tenure Split (North Wales)'!G$109)+(G$44*(-(50-$B20)*('Tenure Split (North Wales)'!G$110/40)))</f>
        <v>17677.429785275031</v>
      </c>
      <c r="L20" s="64" t="str">
        <f t="shared" si="0"/>
        <v/>
      </c>
      <c r="M20" s="251"/>
      <c r="N20" s="37">
        <f t="shared" si="3"/>
        <v>1</v>
      </c>
      <c r="T20" s="1">
        <f t="shared" si="1"/>
        <v>26</v>
      </c>
      <c r="U20" s="4" t="str">
        <f t="shared" si="2"/>
        <v/>
      </c>
      <c r="V20" s="4" t="e">
        <f>IF($V$3=$M$3,M20,U20*(1+'Tenure Split (North Wales)'!C$109)+(U$44*(-(50-$T20)*('Tenure Split (North Wales)'!C$110/40))))</f>
        <v>#VALUE!</v>
      </c>
      <c r="W20" s="4" t="e">
        <f>V20*(1+'Tenure Split (North Wales)'!D$109)+(V$44*(-(50-$T20)*('Tenure Split (North Wales)'!D$110/40)))</f>
        <v>#VALUE!</v>
      </c>
      <c r="X20" s="4" t="e">
        <f>W20*(1+'Tenure Split (North Wales)'!E$109)+(W$44*(-(50-$T20)*('Tenure Split (North Wales)'!E$110/40)))</f>
        <v>#VALUE!</v>
      </c>
      <c r="Y20" s="4" t="e">
        <f>X20*(1+'Tenure Split (North Wales)'!F$109)+(X$44*(-(50-$T20)*('Tenure Split (North Wales)'!F$110/40)))</f>
        <v>#VALUE!</v>
      </c>
      <c r="Z20" s="4" t="e">
        <f>Y20*(1+'Tenure Split (North Wales)'!G$109)+(Y$44*(-(50-$T20)*('Tenure Split (North Wales)'!G$110/40)))</f>
        <v>#VALUE!</v>
      </c>
      <c r="AB20" s="1">
        <v>26</v>
      </c>
      <c r="AC20" s="4">
        <f>IF('Tenure Split (WALES)'!$D$8="WG Estimates",'Income (North Wales)'!D20,'Income (North Wales)'!V20)</f>
        <v>16112.574216392963</v>
      </c>
      <c r="AD20" s="4">
        <f>IF('Tenure Split (WALES)'!$D$8="WG Estimates",'Income (North Wales)'!E20,'Income (North Wales)'!W20)</f>
        <v>16368.652438437548</v>
      </c>
      <c r="AE20" s="4">
        <f>IF('Tenure Split (WALES)'!$D$8="WG Estimates",'Income (North Wales)'!F20,'Income (North Wales)'!X20)</f>
        <v>16743.330835890836</v>
      </c>
      <c r="AF20" s="4">
        <f>IF('Tenure Split (WALES)'!$D$8="WG Estimates",'Income (North Wales)'!G20,'Income (North Wales)'!Y20)</f>
        <v>17196.6861319622</v>
      </c>
      <c r="AG20" s="4">
        <f>IF('Tenure Split (WALES)'!$D$8="WG Estimates",'Income (North Wales)'!H20,'Income (North Wales)'!Z20)</f>
        <v>17677.429785275031</v>
      </c>
    </row>
    <row r="21" spans="2:33" x14ac:dyDescent="0.25">
      <c r="B21" s="20">
        <v>27</v>
      </c>
      <c r="C21" s="58">
        <v>16001.24</v>
      </c>
      <c r="D21" s="59">
        <f>C21*(1+'Tenure Split (North Wales)'!C$109)+(C$44*(-(50-$B21)*('Tenure Split (North Wales)'!C$110/40)))</f>
        <v>16420.897920438187</v>
      </c>
      <c r="E21" s="59">
        <f>D21*(1+'Tenure Split (North Wales)'!D$109)+(D$44*(-(50-$B21)*('Tenure Split (North Wales)'!D$110/40)))</f>
        <v>16691.494984335935</v>
      </c>
      <c r="F21" s="59">
        <f>E21*(1+'Tenure Split (North Wales)'!E$109)+(E$44*(-(50-$B21)*('Tenure Split (North Wales)'!E$110/40)))</f>
        <v>17083.524535282613</v>
      </c>
      <c r="G21" s="59">
        <f>F21*(1+'Tenure Split (North Wales)'!F$109)+(F$44*(-(50-$B21)*('Tenure Split (North Wales)'!F$110/40)))</f>
        <v>17556.478929844096</v>
      </c>
      <c r="H21" s="60">
        <f>G21*(1+'Tenure Split (North Wales)'!G$109)+(G$44*(-(50-$B21)*('Tenure Split (North Wales)'!G$110/40)))</f>
        <v>18058.158782313447</v>
      </c>
      <c r="L21" s="64" t="str">
        <f t="shared" si="0"/>
        <v/>
      </c>
      <c r="M21" s="251"/>
      <c r="N21" s="37">
        <f t="shared" si="3"/>
        <v>1</v>
      </c>
      <c r="T21" s="1">
        <f t="shared" si="1"/>
        <v>27</v>
      </c>
      <c r="U21" s="4" t="str">
        <f t="shared" si="2"/>
        <v/>
      </c>
      <c r="V21" s="4" t="e">
        <f>IF($V$3=$M$3,M21,U21*(1+'Tenure Split (North Wales)'!C$109)+(U$44*(-(50-$T21)*('Tenure Split (North Wales)'!C$110/40))))</f>
        <v>#VALUE!</v>
      </c>
      <c r="W21" s="4" t="e">
        <f>V21*(1+'Tenure Split (North Wales)'!D$109)+(V$44*(-(50-$T21)*('Tenure Split (North Wales)'!D$110/40)))</f>
        <v>#VALUE!</v>
      </c>
      <c r="X21" s="4" t="e">
        <f>W21*(1+'Tenure Split (North Wales)'!E$109)+(W$44*(-(50-$T21)*('Tenure Split (North Wales)'!E$110/40)))</f>
        <v>#VALUE!</v>
      </c>
      <c r="Y21" s="4" t="e">
        <f>X21*(1+'Tenure Split (North Wales)'!F$109)+(X$44*(-(50-$T21)*('Tenure Split (North Wales)'!F$110/40)))</f>
        <v>#VALUE!</v>
      </c>
      <c r="Z21" s="4" t="e">
        <f>Y21*(1+'Tenure Split (North Wales)'!G$109)+(Y$44*(-(50-$T21)*('Tenure Split (North Wales)'!G$110/40)))</f>
        <v>#VALUE!</v>
      </c>
      <c r="AB21" s="1">
        <v>27</v>
      </c>
      <c r="AC21" s="4">
        <f>IF('Tenure Split (WALES)'!$D$8="WG Estimates",'Income (North Wales)'!D21,'Income (North Wales)'!V21)</f>
        <v>16420.897920438187</v>
      </c>
      <c r="AD21" s="4">
        <f>IF('Tenure Split (WALES)'!$D$8="WG Estimates",'Income (North Wales)'!E21,'Income (North Wales)'!W21)</f>
        <v>16691.494984335935</v>
      </c>
      <c r="AE21" s="4">
        <f>IF('Tenure Split (WALES)'!$D$8="WG Estimates",'Income (North Wales)'!F21,'Income (North Wales)'!X21)</f>
        <v>17083.524535282613</v>
      </c>
      <c r="AF21" s="4">
        <f>IF('Tenure Split (WALES)'!$D$8="WG Estimates",'Income (North Wales)'!G21,'Income (North Wales)'!Y21)</f>
        <v>17556.478929844096</v>
      </c>
      <c r="AG21" s="4">
        <f>IF('Tenure Split (WALES)'!$D$8="WG Estimates",'Income (North Wales)'!H21,'Income (North Wales)'!Z21)</f>
        <v>18058.158782313447</v>
      </c>
    </row>
    <row r="22" spans="2:33" x14ac:dyDescent="0.25">
      <c r="B22" s="20">
        <v>28</v>
      </c>
      <c r="C22" s="58">
        <v>16387.5</v>
      </c>
      <c r="D22" s="59">
        <f>C22*(1+'Tenure Split (North Wales)'!C$109)+(C$44*(-(50-$B22)*('Tenure Split (North Wales)'!C$110/40)))</f>
        <v>16827.189030537997</v>
      </c>
      <c r="E22" s="59">
        <f>D22*(1+'Tenure Split (North Wales)'!D$109)+(D$44*(-(50-$B22)*('Tenure Split (North Wales)'!D$110/40)))</f>
        <v>17114.82379531888</v>
      </c>
      <c r="F22" s="59">
        <f>E22*(1+'Tenure Split (North Wales)'!E$109)+(E$44*(-(50-$B22)*('Tenure Split (North Wales)'!E$110/40)))</f>
        <v>17527.500751873184</v>
      </c>
      <c r="G22" s="59">
        <f>F22*(1+'Tenure Split (North Wales)'!F$109)+(F$44*(-(50-$B22)*('Tenure Split (North Wales)'!F$110/40)))</f>
        <v>18023.903108056056</v>
      </c>
      <c r="H22" s="60">
        <f>G22*(1+'Tenure Split (North Wales)'!G$109)+(G$44*(-(50-$B22)*('Tenure Split (North Wales)'!G$110/40)))</f>
        <v>18550.61584928889</v>
      </c>
      <c r="L22" s="64" t="str">
        <f t="shared" si="0"/>
        <v/>
      </c>
      <c r="M22" s="251"/>
      <c r="N22" s="37">
        <f t="shared" si="3"/>
        <v>1</v>
      </c>
      <c r="T22" s="1">
        <f t="shared" si="1"/>
        <v>28</v>
      </c>
      <c r="U22" s="4" t="str">
        <f t="shared" si="2"/>
        <v/>
      </c>
      <c r="V22" s="4" t="e">
        <f>IF($V$3=$M$3,M22,U22*(1+'Tenure Split (North Wales)'!C$109)+(U$44*(-(50-$T22)*('Tenure Split (North Wales)'!C$110/40))))</f>
        <v>#VALUE!</v>
      </c>
      <c r="W22" s="4" t="e">
        <f>V22*(1+'Tenure Split (North Wales)'!D$109)+(V$44*(-(50-$T22)*('Tenure Split (North Wales)'!D$110/40)))</f>
        <v>#VALUE!</v>
      </c>
      <c r="X22" s="4" t="e">
        <f>W22*(1+'Tenure Split (North Wales)'!E$109)+(W$44*(-(50-$T22)*('Tenure Split (North Wales)'!E$110/40)))</f>
        <v>#VALUE!</v>
      </c>
      <c r="Y22" s="4" t="e">
        <f>X22*(1+'Tenure Split (North Wales)'!F$109)+(X$44*(-(50-$T22)*('Tenure Split (North Wales)'!F$110/40)))</f>
        <v>#VALUE!</v>
      </c>
      <c r="Z22" s="4" t="e">
        <f>Y22*(1+'Tenure Split (North Wales)'!G$109)+(Y$44*(-(50-$T22)*('Tenure Split (North Wales)'!G$110/40)))</f>
        <v>#VALUE!</v>
      </c>
      <c r="AB22" s="1">
        <v>28</v>
      </c>
      <c r="AC22" s="4">
        <f>IF('Tenure Split (WALES)'!$D$8="WG Estimates",'Income (North Wales)'!D22,'Income (North Wales)'!V22)</f>
        <v>16827.189030537997</v>
      </c>
      <c r="AD22" s="4">
        <f>IF('Tenure Split (WALES)'!$D$8="WG Estimates",'Income (North Wales)'!E22,'Income (North Wales)'!W22)</f>
        <v>17114.82379531888</v>
      </c>
      <c r="AE22" s="4">
        <f>IF('Tenure Split (WALES)'!$D$8="WG Estimates",'Income (North Wales)'!F22,'Income (North Wales)'!X22)</f>
        <v>17527.500751873184</v>
      </c>
      <c r="AF22" s="4">
        <f>IF('Tenure Split (WALES)'!$D$8="WG Estimates",'Income (North Wales)'!G22,'Income (North Wales)'!Y22)</f>
        <v>18023.903108056056</v>
      </c>
      <c r="AG22" s="4">
        <f>IF('Tenure Split (WALES)'!$D$8="WG Estimates",'Income (North Wales)'!H22,'Income (North Wales)'!Z22)</f>
        <v>18550.61584928889</v>
      </c>
    </row>
    <row r="23" spans="2:33" x14ac:dyDescent="0.25">
      <c r="B23" s="20">
        <v>29</v>
      </c>
      <c r="C23" s="58">
        <v>16554.75</v>
      </c>
      <c r="D23" s="59">
        <f>C23*(1+'Tenure Split (North Wales)'!C$109)+(C$44*(-(50-$B23)*('Tenure Split (North Wales)'!C$110/40)))</f>
        <v>17006.722144442341</v>
      </c>
      <c r="E23" s="59">
        <f>D23*(1+'Tenure Split (North Wales)'!D$109)+(D$44*(-(50-$B23)*('Tenure Split (North Wales)'!D$110/40)))</f>
        <v>17305.564391165808</v>
      </c>
      <c r="F23" s="59">
        <f>E23*(1+'Tenure Split (North Wales)'!E$109)+(E$44*(-(50-$B23)*('Tenure Split (North Wales)'!E$110/40)))</f>
        <v>17731.259159420115</v>
      </c>
      <c r="G23" s="59">
        <f>F23*(1+'Tenure Split (North Wales)'!F$109)+(F$44*(-(50-$B23)*('Tenure Split (North Wales)'!F$110/40)))</f>
        <v>18242.200794975593</v>
      </c>
      <c r="H23" s="60">
        <f>G23*(1+'Tenure Split (North Wales)'!G$109)+(G$44*(-(50-$B23)*('Tenure Split (North Wales)'!G$110/40)))</f>
        <v>18784.464116888827</v>
      </c>
      <c r="L23" s="64" t="str">
        <f t="shared" si="0"/>
        <v/>
      </c>
      <c r="M23" s="251"/>
      <c r="N23" s="37">
        <f t="shared" si="3"/>
        <v>1</v>
      </c>
      <c r="T23" s="1">
        <f t="shared" si="1"/>
        <v>29</v>
      </c>
      <c r="U23" s="4" t="str">
        <f t="shared" si="2"/>
        <v/>
      </c>
      <c r="V23" s="4" t="e">
        <f>IF($V$3=$M$3,M23,U23*(1+'Tenure Split (North Wales)'!C$109)+(U$44*(-(50-$T23)*('Tenure Split (North Wales)'!C$110/40))))</f>
        <v>#VALUE!</v>
      </c>
      <c r="W23" s="4" t="e">
        <f>V23*(1+'Tenure Split (North Wales)'!D$109)+(V$44*(-(50-$T23)*('Tenure Split (North Wales)'!D$110/40)))</f>
        <v>#VALUE!</v>
      </c>
      <c r="X23" s="4" t="e">
        <f>W23*(1+'Tenure Split (North Wales)'!E$109)+(W$44*(-(50-$T23)*('Tenure Split (North Wales)'!E$110/40)))</f>
        <v>#VALUE!</v>
      </c>
      <c r="Y23" s="4" t="e">
        <f>X23*(1+'Tenure Split (North Wales)'!F$109)+(X$44*(-(50-$T23)*('Tenure Split (North Wales)'!F$110/40)))</f>
        <v>#VALUE!</v>
      </c>
      <c r="Z23" s="4" t="e">
        <f>Y23*(1+'Tenure Split (North Wales)'!G$109)+(Y$44*(-(50-$T23)*('Tenure Split (North Wales)'!G$110/40)))</f>
        <v>#VALUE!</v>
      </c>
      <c r="AB23" s="1">
        <v>29</v>
      </c>
      <c r="AC23" s="4">
        <f>IF('Tenure Split (WALES)'!$D$8="WG Estimates",'Income (North Wales)'!D23,'Income (North Wales)'!V23)</f>
        <v>17006.722144442341</v>
      </c>
      <c r="AD23" s="4">
        <f>IF('Tenure Split (WALES)'!$D$8="WG Estimates",'Income (North Wales)'!E23,'Income (North Wales)'!W23)</f>
        <v>17305.564391165808</v>
      </c>
      <c r="AE23" s="4">
        <f>IF('Tenure Split (WALES)'!$D$8="WG Estimates",'Income (North Wales)'!F23,'Income (North Wales)'!X23)</f>
        <v>17731.259159420115</v>
      </c>
      <c r="AF23" s="4">
        <f>IF('Tenure Split (WALES)'!$D$8="WG Estimates",'Income (North Wales)'!G23,'Income (North Wales)'!Y23)</f>
        <v>18242.200794975593</v>
      </c>
      <c r="AG23" s="4">
        <f>IF('Tenure Split (WALES)'!$D$8="WG Estimates",'Income (North Wales)'!H23,'Income (North Wales)'!Z23)</f>
        <v>18784.464116888827</v>
      </c>
    </row>
    <row r="24" spans="2:33" x14ac:dyDescent="0.25">
      <c r="B24" s="20">
        <v>30</v>
      </c>
      <c r="C24" s="58">
        <v>16908.75</v>
      </c>
      <c r="D24" s="59">
        <f>C24*(1+'Tenure Split (North Wales)'!C$109)+(C$44*(-(50-$B24)*('Tenure Split (North Wales)'!C$110/40)))</f>
        <v>17379.611980822843</v>
      </c>
      <c r="E24" s="59">
        <f>D24*(1+'Tenure Split (North Wales)'!D$109)+(D$44*(-(50-$B24)*('Tenure Split (North Wales)'!D$110/40)))</f>
        <v>17694.633141784903</v>
      </c>
      <c r="F24" s="59">
        <f>E24*(1+'Tenure Split (North Wales)'!E$109)+(E$44*(-(50-$B24)*('Tenure Split (North Wales)'!E$110/40)))</f>
        <v>18139.851482490998</v>
      </c>
      <c r="G24" s="59">
        <f>F24*(1+'Tenure Split (North Wales)'!F$109)+(F$44*(-(50-$B24)*('Tenure Split (North Wales)'!F$110/40)))</f>
        <v>18672.928837809755</v>
      </c>
      <c r="H24" s="60">
        <f>G24*(1+'Tenure Split (North Wales)'!G$109)+(G$44*(-(50-$B24)*('Tenure Split (North Wales)'!G$110/40)))</f>
        <v>19238.82831199608</v>
      </c>
      <c r="L24" s="64" t="str">
        <f t="shared" si="0"/>
        <v/>
      </c>
      <c r="M24" s="251"/>
      <c r="N24" s="37">
        <f t="shared" si="3"/>
        <v>1</v>
      </c>
      <c r="T24" s="1">
        <f t="shared" si="1"/>
        <v>30</v>
      </c>
      <c r="U24" s="4" t="str">
        <f t="shared" si="2"/>
        <v/>
      </c>
      <c r="V24" s="4" t="e">
        <f>IF($V$3=$M$3,M24,U24*(1+'Tenure Split (North Wales)'!C$109)+(U$44*(-(50-$T24)*('Tenure Split (North Wales)'!C$110/40))))</f>
        <v>#VALUE!</v>
      </c>
      <c r="W24" s="4" t="e">
        <f>V24*(1+'Tenure Split (North Wales)'!D$109)+(V$44*(-(50-$T24)*('Tenure Split (North Wales)'!D$110/40)))</f>
        <v>#VALUE!</v>
      </c>
      <c r="X24" s="4" t="e">
        <f>W24*(1+'Tenure Split (North Wales)'!E$109)+(W$44*(-(50-$T24)*('Tenure Split (North Wales)'!E$110/40)))</f>
        <v>#VALUE!</v>
      </c>
      <c r="Y24" s="4" t="e">
        <f>X24*(1+'Tenure Split (North Wales)'!F$109)+(X$44*(-(50-$T24)*('Tenure Split (North Wales)'!F$110/40)))</f>
        <v>#VALUE!</v>
      </c>
      <c r="Z24" s="4" t="e">
        <f>Y24*(1+'Tenure Split (North Wales)'!G$109)+(Y$44*(-(50-$T24)*('Tenure Split (North Wales)'!G$110/40)))</f>
        <v>#VALUE!</v>
      </c>
      <c r="AB24" s="1">
        <v>30</v>
      </c>
      <c r="AC24" s="4">
        <f>IF('Tenure Split (WALES)'!$D$8="WG Estimates",'Income (North Wales)'!D24,'Income (North Wales)'!V24)</f>
        <v>17379.611980822843</v>
      </c>
      <c r="AD24" s="4">
        <f>IF('Tenure Split (WALES)'!$D$8="WG Estimates",'Income (North Wales)'!E24,'Income (North Wales)'!W24)</f>
        <v>17694.633141784903</v>
      </c>
      <c r="AE24" s="4">
        <f>IF('Tenure Split (WALES)'!$D$8="WG Estimates",'Income (North Wales)'!F24,'Income (North Wales)'!X24)</f>
        <v>18139.851482490998</v>
      </c>
      <c r="AF24" s="4">
        <f>IF('Tenure Split (WALES)'!$D$8="WG Estimates",'Income (North Wales)'!G24,'Income (North Wales)'!Y24)</f>
        <v>18672.928837809755</v>
      </c>
      <c r="AG24" s="4">
        <f>IF('Tenure Split (WALES)'!$D$8="WG Estimates",'Income (North Wales)'!H24,'Income (North Wales)'!Z24)</f>
        <v>19238.82831199608</v>
      </c>
    </row>
    <row r="25" spans="2:33" x14ac:dyDescent="0.25">
      <c r="B25" s="20">
        <v>31</v>
      </c>
      <c r="C25" s="58">
        <v>17287.5</v>
      </c>
      <c r="D25" s="59">
        <f>C25*(1+'Tenure Split (North Wales)'!C$109)+(C$44*(-(50-$B25)*('Tenure Split (North Wales)'!C$110/40)))</f>
        <v>17778.127406929096</v>
      </c>
      <c r="E25" s="59">
        <f>D25*(1+'Tenure Split (North Wales)'!D$109)+(D$44*(-(50-$B25)*('Tenure Split (North Wales)'!D$110/40)))</f>
        <v>18109.986346650901</v>
      </c>
      <c r="F25" s="59">
        <f>E25*(1+'Tenure Split (North Wales)'!E$109)+(E$44*(-(50-$B25)*('Tenure Split (North Wales)'!E$110/40)))</f>
        <v>18575.590469065042</v>
      </c>
      <c r="G25" s="59">
        <f>F25*(1+'Tenure Split (North Wales)'!F$109)+(F$44*(-(50-$B25)*('Tenure Split (North Wales)'!F$110/40)))</f>
        <v>19131.810301307283</v>
      </c>
      <c r="H25" s="60">
        <f>G25*(1+'Tenure Split (North Wales)'!G$109)+(G$44*(-(50-$B25)*('Tenure Split (North Wales)'!G$110/40)))</f>
        <v>19722.417509544048</v>
      </c>
      <c r="L25" s="64" t="str">
        <f t="shared" si="0"/>
        <v/>
      </c>
      <c r="M25" s="251"/>
      <c r="N25" s="37">
        <f t="shared" si="3"/>
        <v>1</v>
      </c>
      <c r="T25" s="1">
        <f t="shared" si="1"/>
        <v>31</v>
      </c>
      <c r="U25" s="4" t="str">
        <f t="shared" si="2"/>
        <v/>
      </c>
      <c r="V25" s="4" t="e">
        <f>IF($V$3=$M$3,M25,U25*(1+'Tenure Split (North Wales)'!C$109)+(U$44*(-(50-$T25)*('Tenure Split (North Wales)'!C$110/40))))</f>
        <v>#VALUE!</v>
      </c>
      <c r="W25" s="4" t="e">
        <f>V25*(1+'Tenure Split (North Wales)'!D$109)+(V$44*(-(50-$T25)*('Tenure Split (North Wales)'!D$110/40)))</f>
        <v>#VALUE!</v>
      </c>
      <c r="X25" s="4" t="e">
        <f>W25*(1+'Tenure Split (North Wales)'!E$109)+(W$44*(-(50-$T25)*('Tenure Split (North Wales)'!E$110/40)))</f>
        <v>#VALUE!</v>
      </c>
      <c r="Y25" s="4" t="e">
        <f>X25*(1+'Tenure Split (North Wales)'!F$109)+(X$44*(-(50-$T25)*('Tenure Split (North Wales)'!F$110/40)))</f>
        <v>#VALUE!</v>
      </c>
      <c r="Z25" s="4" t="e">
        <f>Y25*(1+'Tenure Split (North Wales)'!G$109)+(Y$44*(-(50-$T25)*('Tenure Split (North Wales)'!G$110/40)))</f>
        <v>#VALUE!</v>
      </c>
      <c r="AB25" s="1">
        <v>31</v>
      </c>
      <c r="AC25" s="4">
        <f>IF('Tenure Split (WALES)'!$D$8="WG Estimates",'Income (North Wales)'!D25,'Income (North Wales)'!V25)</f>
        <v>17778.127406929096</v>
      </c>
      <c r="AD25" s="4">
        <f>IF('Tenure Split (WALES)'!$D$8="WG Estimates",'Income (North Wales)'!E25,'Income (North Wales)'!W25)</f>
        <v>18109.986346650901</v>
      </c>
      <c r="AE25" s="4">
        <f>IF('Tenure Split (WALES)'!$D$8="WG Estimates",'Income (North Wales)'!F25,'Income (North Wales)'!X25)</f>
        <v>18575.590469065042</v>
      </c>
      <c r="AF25" s="4">
        <f>IF('Tenure Split (WALES)'!$D$8="WG Estimates",'Income (North Wales)'!G25,'Income (North Wales)'!Y25)</f>
        <v>19131.810301307283</v>
      </c>
      <c r="AG25" s="4">
        <f>IF('Tenure Split (WALES)'!$D$8="WG Estimates",'Income (North Wales)'!H25,'Income (North Wales)'!Z25)</f>
        <v>19722.417509544048</v>
      </c>
    </row>
    <row r="26" spans="2:33" x14ac:dyDescent="0.25">
      <c r="B26" s="20">
        <v>32</v>
      </c>
      <c r="C26" s="58">
        <v>17527</v>
      </c>
      <c r="D26" s="59">
        <f>C26*(1+'Tenure Split (North Wales)'!C$109)+(C$44*(-(50-$B26)*('Tenure Split (North Wales)'!C$110/40)))</f>
        <v>18032.466535285399</v>
      </c>
      <c r="E26" s="59">
        <f>D26*(1+'Tenure Split (North Wales)'!D$109)+(D$44*(-(50-$B26)*('Tenure Split (North Wales)'!D$110/40)))</f>
        <v>18377.456308935794</v>
      </c>
      <c r="F26" s="59">
        <f>E26*(1+'Tenure Split (North Wales)'!E$109)+(E$44*(-(50-$B26)*('Tenure Split (North Wales)'!E$110/40)))</f>
        <v>18858.595197343471</v>
      </c>
      <c r="G26" s="59">
        <f>F26*(1+'Tenure Split (North Wales)'!F$109)+(F$44*(-(50-$B26)*('Tenure Split (North Wales)'!F$110/40)))</f>
        <v>19432.29322632499</v>
      </c>
      <c r="H26" s="60">
        <f>G26*(1+'Tenure Split (North Wales)'!G$109)+(G$44*(-(50-$B26)*('Tenure Split (North Wales)'!G$110/40)))</f>
        <v>20041.579168107331</v>
      </c>
      <c r="L26" s="64" t="str">
        <f t="shared" si="0"/>
        <v/>
      </c>
      <c r="M26" s="251"/>
      <c r="N26" s="37">
        <f t="shared" si="3"/>
        <v>1</v>
      </c>
      <c r="T26" s="1">
        <f t="shared" si="1"/>
        <v>32</v>
      </c>
      <c r="U26" s="4" t="str">
        <f t="shared" si="2"/>
        <v/>
      </c>
      <c r="V26" s="4" t="e">
        <f>IF($V$3=$M$3,M26,U26*(1+'Tenure Split (North Wales)'!C$109)+(U$44*(-(50-$T26)*('Tenure Split (North Wales)'!C$110/40))))</f>
        <v>#VALUE!</v>
      </c>
      <c r="W26" s="4" t="e">
        <f>V26*(1+'Tenure Split (North Wales)'!D$109)+(V$44*(-(50-$T26)*('Tenure Split (North Wales)'!D$110/40)))</f>
        <v>#VALUE!</v>
      </c>
      <c r="X26" s="4" t="e">
        <f>W26*(1+'Tenure Split (North Wales)'!E$109)+(W$44*(-(50-$T26)*('Tenure Split (North Wales)'!E$110/40)))</f>
        <v>#VALUE!</v>
      </c>
      <c r="Y26" s="4" t="e">
        <f>X26*(1+'Tenure Split (North Wales)'!F$109)+(X$44*(-(50-$T26)*('Tenure Split (North Wales)'!F$110/40)))</f>
        <v>#VALUE!</v>
      </c>
      <c r="Z26" s="4" t="e">
        <f>Y26*(1+'Tenure Split (North Wales)'!G$109)+(Y$44*(-(50-$T26)*('Tenure Split (North Wales)'!G$110/40)))</f>
        <v>#VALUE!</v>
      </c>
      <c r="AB26" s="1">
        <v>32</v>
      </c>
      <c r="AC26" s="4">
        <f>IF('Tenure Split (WALES)'!$D$8="WG Estimates",'Income (North Wales)'!D26,'Income (North Wales)'!V26)</f>
        <v>18032.466535285399</v>
      </c>
      <c r="AD26" s="4">
        <f>IF('Tenure Split (WALES)'!$D$8="WG Estimates",'Income (North Wales)'!E26,'Income (North Wales)'!W26)</f>
        <v>18377.456308935794</v>
      </c>
      <c r="AE26" s="4">
        <f>IF('Tenure Split (WALES)'!$D$8="WG Estimates",'Income (North Wales)'!F26,'Income (North Wales)'!X26)</f>
        <v>18858.595197343471</v>
      </c>
      <c r="AF26" s="4">
        <f>IF('Tenure Split (WALES)'!$D$8="WG Estimates",'Income (North Wales)'!G26,'Income (North Wales)'!Y26)</f>
        <v>19432.29322632499</v>
      </c>
      <c r="AG26" s="4">
        <f>IF('Tenure Split (WALES)'!$D$8="WG Estimates",'Income (North Wales)'!H26,'Income (North Wales)'!Z26)</f>
        <v>20041.579168107331</v>
      </c>
    </row>
    <row r="27" spans="2:33" x14ac:dyDescent="0.25">
      <c r="B27" s="20">
        <v>33</v>
      </c>
      <c r="C27" s="58">
        <v>17864</v>
      </c>
      <c r="D27" s="59">
        <f>C27*(1+'Tenure Split (North Wales)'!C$109)+(C$44*(-(50-$B27)*('Tenure Split (North Wales)'!C$110/40)))</f>
        <v>18387.754956500732</v>
      </c>
      <c r="E27" s="59">
        <f>D27*(1+'Tenure Split (North Wales)'!D$109)+(D$44*(-(50-$B27)*('Tenure Split (North Wales)'!D$110/40)))</f>
        <v>18748.471090981249</v>
      </c>
      <c r="F27" s="59">
        <f>E27*(1+'Tenure Split (North Wales)'!E$109)+(E$44*(-(50-$B27)*('Tenure Split (North Wales)'!E$110/40)))</f>
        <v>19248.541327301056</v>
      </c>
      <c r="G27" s="59">
        <f>F27*(1+'Tenure Split (North Wales)'!F$109)+(F$44*(-(50-$B27)*('Tenure Split (North Wales)'!F$110/40)))</f>
        <v>19843.683566077219</v>
      </c>
      <c r="H27" s="60">
        <f>G27*(1+'Tenure Split (North Wales)'!G$109)+(G$44*(-(50-$B27)*('Tenure Split (North Wales)'!G$110/40)))</f>
        <v>20475.869624164377</v>
      </c>
      <c r="L27" s="64" t="str">
        <f t="shared" si="0"/>
        <v/>
      </c>
      <c r="M27" s="251"/>
      <c r="N27" s="37">
        <f t="shared" si="3"/>
        <v>1</v>
      </c>
      <c r="T27" s="1">
        <f t="shared" si="1"/>
        <v>33</v>
      </c>
      <c r="U27" s="4" t="str">
        <f t="shared" si="2"/>
        <v/>
      </c>
      <c r="V27" s="4" t="e">
        <f>IF($V$3=$M$3,M27,U27*(1+'Tenure Split (North Wales)'!C$109)+(U$44*(-(50-$T27)*('Tenure Split (North Wales)'!C$110/40))))</f>
        <v>#VALUE!</v>
      </c>
      <c r="W27" s="4" t="e">
        <f>V27*(1+'Tenure Split (North Wales)'!D$109)+(V$44*(-(50-$T27)*('Tenure Split (North Wales)'!D$110/40)))</f>
        <v>#VALUE!</v>
      </c>
      <c r="X27" s="4" t="e">
        <f>W27*(1+'Tenure Split (North Wales)'!E$109)+(W$44*(-(50-$T27)*('Tenure Split (North Wales)'!E$110/40)))</f>
        <v>#VALUE!</v>
      </c>
      <c r="Y27" s="4" t="e">
        <f>X27*(1+'Tenure Split (North Wales)'!F$109)+(X$44*(-(50-$T27)*('Tenure Split (North Wales)'!F$110/40)))</f>
        <v>#VALUE!</v>
      </c>
      <c r="Z27" s="4" t="e">
        <f>Y27*(1+'Tenure Split (North Wales)'!G$109)+(Y$44*(-(50-$T27)*('Tenure Split (North Wales)'!G$110/40)))</f>
        <v>#VALUE!</v>
      </c>
      <c r="AB27" s="1">
        <v>33</v>
      </c>
      <c r="AC27" s="4">
        <f>IF('Tenure Split (WALES)'!$D$8="WG Estimates",'Income (North Wales)'!D27,'Income (North Wales)'!V27)</f>
        <v>18387.754956500732</v>
      </c>
      <c r="AD27" s="4">
        <f>IF('Tenure Split (WALES)'!$D$8="WG Estimates",'Income (North Wales)'!E27,'Income (North Wales)'!W27)</f>
        <v>18748.471090981249</v>
      </c>
      <c r="AE27" s="4">
        <f>IF('Tenure Split (WALES)'!$D$8="WG Estimates",'Income (North Wales)'!F27,'Income (North Wales)'!X27)</f>
        <v>19248.541327301056</v>
      </c>
      <c r="AF27" s="4">
        <f>IF('Tenure Split (WALES)'!$D$8="WG Estimates",'Income (North Wales)'!G27,'Income (North Wales)'!Y27)</f>
        <v>19843.683566077219</v>
      </c>
      <c r="AG27" s="4">
        <f>IF('Tenure Split (WALES)'!$D$8="WG Estimates",'Income (North Wales)'!H27,'Income (North Wales)'!Z27)</f>
        <v>20475.869624164377</v>
      </c>
    </row>
    <row r="28" spans="2:33" x14ac:dyDescent="0.25">
      <c r="B28" s="20">
        <v>34</v>
      </c>
      <c r="C28" s="58">
        <v>18328.900000000001</v>
      </c>
      <c r="D28" s="59">
        <f>C28*(1+'Tenure Split (North Wales)'!C$109)+(C$44*(-(50-$B28)*('Tenure Split (North Wales)'!C$110/40)))</f>
        <v>18875.46814239987</v>
      </c>
      <c r="E28" s="59">
        <f>D28*(1+'Tenure Split (North Wales)'!D$109)+(D$44*(-(50-$B28)*('Tenure Split (North Wales)'!D$110/40)))</f>
        <v>19255.315436589535</v>
      </c>
      <c r="F28" s="59">
        <f>E28*(1+'Tenure Split (North Wales)'!E$109)+(E$44*(-(50-$B28)*('Tenure Split (North Wales)'!E$110/40)))</f>
        <v>19778.772639563926</v>
      </c>
      <c r="G28" s="59">
        <f>F28*(1+'Tenure Split (North Wales)'!F$109)+(F$44*(-(50-$B28)*('Tenure Split (North Wales)'!F$110/40)))</f>
        <v>20400.561683722241</v>
      </c>
      <c r="H28" s="60">
        <f>G28*(1+'Tenure Split (North Wales)'!G$109)+(G$44*(-(50-$B28)*('Tenure Split (North Wales)'!G$110/40)))</f>
        <v>21061.185446369669</v>
      </c>
      <c r="L28" s="64" t="str">
        <f t="shared" si="0"/>
        <v/>
      </c>
      <c r="M28" s="251"/>
      <c r="N28" s="37">
        <f t="shared" si="3"/>
        <v>1</v>
      </c>
      <c r="T28" s="1">
        <f t="shared" si="1"/>
        <v>34</v>
      </c>
      <c r="U28" s="4" t="str">
        <f t="shared" si="2"/>
        <v/>
      </c>
      <c r="V28" s="4" t="e">
        <f>IF($V$3=$M$3,M28,U28*(1+'Tenure Split (North Wales)'!C$109)+(U$44*(-(50-$T28)*('Tenure Split (North Wales)'!C$110/40))))</f>
        <v>#VALUE!</v>
      </c>
      <c r="W28" s="4" t="e">
        <f>V28*(1+'Tenure Split (North Wales)'!D$109)+(V$44*(-(50-$T28)*('Tenure Split (North Wales)'!D$110/40)))</f>
        <v>#VALUE!</v>
      </c>
      <c r="X28" s="4" t="e">
        <f>W28*(1+'Tenure Split (North Wales)'!E$109)+(W$44*(-(50-$T28)*('Tenure Split (North Wales)'!E$110/40)))</f>
        <v>#VALUE!</v>
      </c>
      <c r="Y28" s="4" t="e">
        <f>X28*(1+'Tenure Split (North Wales)'!F$109)+(X$44*(-(50-$T28)*('Tenure Split (North Wales)'!F$110/40)))</f>
        <v>#VALUE!</v>
      </c>
      <c r="Z28" s="4" t="e">
        <f>Y28*(1+'Tenure Split (North Wales)'!G$109)+(Y$44*(-(50-$T28)*('Tenure Split (North Wales)'!G$110/40)))</f>
        <v>#VALUE!</v>
      </c>
      <c r="AB28" s="1">
        <v>34</v>
      </c>
      <c r="AC28" s="4">
        <f>IF('Tenure Split (WALES)'!$D$8="WG Estimates",'Income (North Wales)'!D28,'Income (North Wales)'!V28)</f>
        <v>18875.46814239987</v>
      </c>
      <c r="AD28" s="4">
        <f>IF('Tenure Split (WALES)'!$D$8="WG Estimates",'Income (North Wales)'!E28,'Income (North Wales)'!W28)</f>
        <v>19255.315436589535</v>
      </c>
      <c r="AE28" s="4">
        <f>IF('Tenure Split (WALES)'!$D$8="WG Estimates",'Income (North Wales)'!F28,'Income (North Wales)'!X28)</f>
        <v>19778.772639563926</v>
      </c>
      <c r="AF28" s="4">
        <f>IF('Tenure Split (WALES)'!$D$8="WG Estimates",'Income (North Wales)'!G28,'Income (North Wales)'!Y28)</f>
        <v>20400.561683722241</v>
      </c>
      <c r="AG28" s="4">
        <f>IF('Tenure Split (WALES)'!$D$8="WG Estimates",'Income (North Wales)'!H28,'Income (North Wales)'!Z28)</f>
        <v>21061.185446369669</v>
      </c>
    </row>
    <row r="29" spans="2:33" x14ac:dyDescent="0.25">
      <c r="B29" s="20">
        <v>35</v>
      </c>
      <c r="C29" s="58">
        <v>18842.599999999999</v>
      </c>
      <c r="D29" s="59">
        <f>C29*(1+'Tenure Split (North Wales)'!C$109)+(C$44*(-(50-$B29)*('Tenure Split (North Wales)'!C$110/40)))</f>
        <v>19413.707743596657</v>
      </c>
      <c r="E29" s="59">
        <f>D29*(1+'Tenure Split (North Wales)'!D$109)+(D$44*(-(50-$B29)*('Tenure Split (North Wales)'!D$110/40)))</f>
        <v>19813.985291985675</v>
      </c>
      <c r="F29" s="59">
        <f>E29*(1+'Tenure Split (North Wales)'!E$109)+(E$44*(-(50-$B29)*('Tenure Split (North Wales)'!E$110/40)))</f>
        <v>20362.529494410835</v>
      </c>
      <c r="G29" s="59">
        <f>F29*(1+'Tenure Split (North Wales)'!F$109)+(F$44*(-(50-$B29)*('Tenure Split (North Wales)'!F$110/40)))</f>
        <v>21012.950384331838</v>
      </c>
      <c r="H29" s="60">
        <f>G29*(1+'Tenure Split (North Wales)'!G$109)+(G$44*(-(50-$B29)*('Tenure Split (North Wales)'!G$110/40)))</f>
        <v>21704.124707730829</v>
      </c>
      <c r="L29" s="64" t="str">
        <f t="shared" si="0"/>
        <v/>
      </c>
      <c r="M29" s="251"/>
      <c r="N29" s="37">
        <f t="shared" si="3"/>
        <v>1</v>
      </c>
      <c r="T29" s="1">
        <f t="shared" si="1"/>
        <v>35</v>
      </c>
      <c r="U29" s="4" t="str">
        <f t="shared" si="2"/>
        <v/>
      </c>
      <c r="V29" s="4" t="e">
        <f>IF($V$3=$M$3,M29,U29*(1+'Tenure Split (North Wales)'!C$109)+(U$44*(-(50-$T29)*('Tenure Split (North Wales)'!C$110/40))))</f>
        <v>#VALUE!</v>
      </c>
      <c r="W29" s="4" t="e">
        <f>V29*(1+'Tenure Split (North Wales)'!D$109)+(V$44*(-(50-$T29)*('Tenure Split (North Wales)'!D$110/40)))</f>
        <v>#VALUE!</v>
      </c>
      <c r="X29" s="4" t="e">
        <f>W29*(1+'Tenure Split (North Wales)'!E$109)+(W$44*(-(50-$T29)*('Tenure Split (North Wales)'!E$110/40)))</f>
        <v>#VALUE!</v>
      </c>
      <c r="Y29" s="4" t="e">
        <f>X29*(1+'Tenure Split (North Wales)'!F$109)+(X$44*(-(50-$T29)*('Tenure Split (North Wales)'!F$110/40)))</f>
        <v>#VALUE!</v>
      </c>
      <c r="Z29" s="4" t="e">
        <f>Y29*(1+'Tenure Split (North Wales)'!G$109)+(Y$44*(-(50-$T29)*('Tenure Split (North Wales)'!G$110/40)))</f>
        <v>#VALUE!</v>
      </c>
      <c r="AB29" s="1">
        <v>35</v>
      </c>
      <c r="AC29" s="4">
        <f>IF('Tenure Split (WALES)'!$D$8="WG Estimates",'Income (North Wales)'!D29,'Income (North Wales)'!V29)</f>
        <v>19413.707743596657</v>
      </c>
      <c r="AD29" s="4">
        <f>IF('Tenure Split (WALES)'!$D$8="WG Estimates",'Income (North Wales)'!E29,'Income (North Wales)'!W29)</f>
        <v>19813.985291985675</v>
      </c>
      <c r="AE29" s="4">
        <f>IF('Tenure Split (WALES)'!$D$8="WG Estimates",'Income (North Wales)'!F29,'Income (North Wales)'!X29)</f>
        <v>20362.529494410835</v>
      </c>
      <c r="AF29" s="4">
        <f>IF('Tenure Split (WALES)'!$D$8="WG Estimates",'Income (North Wales)'!G29,'Income (North Wales)'!Y29)</f>
        <v>21012.950384331838</v>
      </c>
      <c r="AG29" s="4">
        <f>IF('Tenure Split (WALES)'!$D$8="WG Estimates",'Income (North Wales)'!H29,'Income (North Wales)'!Z29)</f>
        <v>21704.124707730829</v>
      </c>
    </row>
    <row r="30" spans="2:33" x14ac:dyDescent="0.25">
      <c r="B30" s="20">
        <v>36</v>
      </c>
      <c r="C30" s="58">
        <v>19291</v>
      </c>
      <c r="D30" s="59">
        <f>C30*(1+'Tenure Split (North Wales)'!C$109)+(C$44*(-(50-$B30)*('Tenure Split (North Wales)'!C$110/40)))</f>
        <v>19884.337203011961</v>
      </c>
      <c r="E30" s="59">
        <f>D30*(1+'Tenure Split (North Wales)'!D$109)+(D$44*(-(50-$B30)*('Tenure Split (North Wales)'!D$110/40)))</f>
        <v>20303.306668096022</v>
      </c>
      <c r="F30" s="59">
        <f>E30*(1+'Tenure Split (North Wales)'!E$109)+(E$44*(-(50-$B30)*('Tenure Split (North Wales)'!E$110/40)))</f>
        <v>20874.663031004926</v>
      </c>
      <c r="G30" s="59">
        <f>F30*(1+'Tenure Split (North Wales)'!F$109)+(F$44*(-(50-$B30)*('Tenure Split (North Wales)'!F$110/40)))</f>
        <v>21551.059554867938</v>
      </c>
      <c r="H30" s="60">
        <f>G30*(1+'Tenure Split (North Wales)'!G$109)+(G$44*(-(50-$B30)*('Tenure Split (North Wales)'!G$110/40)))</f>
        <v>22269.957194975632</v>
      </c>
      <c r="L30" s="64" t="str">
        <f t="shared" si="0"/>
        <v/>
      </c>
      <c r="M30" s="251"/>
      <c r="N30" s="37">
        <f t="shared" si="3"/>
        <v>1</v>
      </c>
      <c r="T30" s="1">
        <f t="shared" si="1"/>
        <v>36</v>
      </c>
      <c r="U30" s="4" t="str">
        <f t="shared" si="2"/>
        <v/>
      </c>
      <c r="V30" s="4" t="e">
        <f>IF($V$3=$M$3,M30,U30*(1+'Tenure Split (North Wales)'!C$109)+(U$44*(-(50-$T30)*('Tenure Split (North Wales)'!C$110/40))))</f>
        <v>#VALUE!</v>
      </c>
      <c r="W30" s="4" t="e">
        <f>V30*(1+'Tenure Split (North Wales)'!D$109)+(V$44*(-(50-$T30)*('Tenure Split (North Wales)'!D$110/40)))</f>
        <v>#VALUE!</v>
      </c>
      <c r="X30" s="4" t="e">
        <f>W30*(1+'Tenure Split (North Wales)'!E$109)+(W$44*(-(50-$T30)*('Tenure Split (North Wales)'!E$110/40)))</f>
        <v>#VALUE!</v>
      </c>
      <c r="Y30" s="4" t="e">
        <f>X30*(1+'Tenure Split (North Wales)'!F$109)+(X$44*(-(50-$T30)*('Tenure Split (North Wales)'!F$110/40)))</f>
        <v>#VALUE!</v>
      </c>
      <c r="Z30" s="4" t="e">
        <f>Y30*(1+'Tenure Split (North Wales)'!G$109)+(Y$44*(-(50-$T30)*('Tenure Split (North Wales)'!G$110/40)))</f>
        <v>#VALUE!</v>
      </c>
      <c r="AB30" s="1">
        <v>36</v>
      </c>
      <c r="AC30" s="4">
        <f>IF('Tenure Split (WALES)'!$D$8="WG Estimates",'Income (North Wales)'!D30,'Income (North Wales)'!V30)</f>
        <v>19884.337203011961</v>
      </c>
      <c r="AD30" s="4">
        <f>IF('Tenure Split (WALES)'!$D$8="WG Estimates",'Income (North Wales)'!E30,'Income (North Wales)'!W30)</f>
        <v>20303.306668096022</v>
      </c>
      <c r="AE30" s="4">
        <f>IF('Tenure Split (WALES)'!$D$8="WG Estimates",'Income (North Wales)'!F30,'Income (North Wales)'!X30)</f>
        <v>20874.663031004926</v>
      </c>
      <c r="AF30" s="4">
        <f>IF('Tenure Split (WALES)'!$D$8="WG Estimates",'Income (North Wales)'!G30,'Income (North Wales)'!Y30)</f>
        <v>21551.059554867938</v>
      </c>
      <c r="AG30" s="4">
        <f>IF('Tenure Split (WALES)'!$D$8="WG Estimates",'Income (North Wales)'!H30,'Income (North Wales)'!Z30)</f>
        <v>22269.957194975632</v>
      </c>
    </row>
    <row r="31" spans="2:33" x14ac:dyDescent="0.25">
      <c r="B31" s="20">
        <v>37</v>
      </c>
      <c r="C31" s="58">
        <v>19857.7</v>
      </c>
      <c r="D31" s="59">
        <f>C31*(1+'Tenure Split (North Wales)'!C$109)+(C$44*(-(50-$B31)*('Tenure Split (North Wales)'!C$110/40)))</f>
        <v>20477.451804429558</v>
      </c>
      <c r="E31" s="59">
        <f>D31*(1+'Tenure Split (North Wales)'!D$109)+(D$44*(-(50-$B31)*('Tenure Split (North Wales)'!D$110/40)))</f>
        <v>20918.262425515852</v>
      </c>
      <c r="F31" s="59">
        <f>E31*(1+'Tenure Split (North Wales)'!E$109)+(E$44*(-(50-$B31)*('Tenure Split (North Wales)'!E$110/40)))</f>
        <v>21516.552134969734</v>
      </c>
      <c r="G31" s="59">
        <f>F31*(1+'Tenure Split (North Wales)'!F$109)+(F$44*(-(50-$B31)*('Tenure Split (North Wales)'!F$110/40)))</f>
        <v>22223.736388615271</v>
      </c>
      <c r="H31" s="60">
        <f>G31*(1+'Tenure Split (North Wales)'!G$109)+(G$44*(-(50-$B31)*('Tenure Split (North Wales)'!G$110/40)))</f>
        <v>22975.479289846218</v>
      </c>
      <c r="L31" s="64" t="str">
        <f t="shared" si="0"/>
        <v/>
      </c>
      <c r="M31" s="251"/>
      <c r="N31" s="37">
        <f t="shared" si="3"/>
        <v>1</v>
      </c>
      <c r="T31" s="1">
        <f t="shared" si="1"/>
        <v>37</v>
      </c>
      <c r="U31" s="4" t="str">
        <f t="shared" si="2"/>
        <v/>
      </c>
      <c r="V31" s="4" t="e">
        <f>IF($V$3=$M$3,M31,U31*(1+'Tenure Split (North Wales)'!C$109)+(U$44*(-(50-$T31)*('Tenure Split (North Wales)'!C$110/40))))</f>
        <v>#VALUE!</v>
      </c>
      <c r="W31" s="4" t="e">
        <f>V31*(1+'Tenure Split (North Wales)'!D$109)+(V$44*(-(50-$T31)*('Tenure Split (North Wales)'!D$110/40)))</f>
        <v>#VALUE!</v>
      </c>
      <c r="X31" s="4" t="e">
        <f>W31*(1+'Tenure Split (North Wales)'!E$109)+(W$44*(-(50-$T31)*('Tenure Split (North Wales)'!E$110/40)))</f>
        <v>#VALUE!</v>
      </c>
      <c r="Y31" s="4" t="e">
        <f>X31*(1+'Tenure Split (North Wales)'!F$109)+(X$44*(-(50-$T31)*('Tenure Split (North Wales)'!F$110/40)))</f>
        <v>#VALUE!</v>
      </c>
      <c r="Z31" s="4" t="e">
        <f>Y31*(1+'Tenure Split (North Wales)'!G$109)+(Y$44*(-(50-$T31)*('Tenure Split (North Wales)'!G$110/40)))</f>
        <v>#VALUE!</v>
      </c>
      <c r="AB31" s="1">
        <v>37</v>
      </c>
      <c r="AC31" s="4">
        <f>IF('Tenure Split (WALES)'!$D$8="WG Estimates",'Income (North Wales)'!D31,'Income (North Wales)'!V31)</f>
        <v>20477.451804429558</v>
      </c>
      <c r="AD31" s="4">
        <f>IF('Tenure Split (WALES)'!$D$8="WG Estimates",'Income (North Wales)'!E31,'Income (North Wales)'!W31)</f>
        <v>20918.262425515852</v>
      </c>
      <c r="AE31" s="4">
        <f>IF('Tenure Split (WALES)'!$D$8="WG Estimates",'Income (North Wales)'!F31,'Income (North Wales)'!X31)</f>
        <v>21516.552134969734</v>
      </c>
      <c r="AF31" s="4">
        <f>IF('Tenure Split (WALES)'!$D$8="WG Estimates",'Income (North Wales)'!G31,'Income (North Wales)'!Y31)</f>
        <v>22223.736388615271</v>
      </c>
      <c r="AG31" s="4">
        <f>IF('Tenure Split (WALES)'!$D$8="WG Estimates",'Income (North Wales)'!H31,'Income (North Wales)'!Z31)</f>
        <v>22975.479289846218</v>
      </c>
    </row>
    <row r="32" spans="2:33" x14ac:dyDescent="0.25">
      <c r="B32" s="20">
        <v>38</v>
      </c>
      <c r="C32" s="58">
        <v>20373.5</v>
      </c>
      <c r="D32" s="59">
        <f>C32*(1+'Tenure Split (North Wales)'!C$109)+(C$44*(-(50-$B32)*('Tenure Split (North Wales)'!C$110/40)))</f>
        <v>21017.865698087924</v>
      </c>
      <c r="E32" s="59">
        <f>D32*(1+'Tenure Split (North Wales)'!D$109)+(D$44*(-(50-$B32)*('Tenure Split (North Wales)'!D$110/40)))</f>
        <v>21479.162477029913</v>
      </c>
      <c r="F32" s="59">
        <f>E32*(1+'Tenure Split (North Wales)'!E$109)+(E$44*(-(50-$B32)*('Tenure Split (North Wales)'!E$110/40)))</f>
        <v>22102.61234308358</v>
      </c>
      <c r="G32" s="59">
        <f>F32*(1+'Tenure Split (North Wales)'!F$109)+(F$44*(-(50-$B32)*('Tenure Split (North Wales)'!F$110/40)))</f>
        <v>22838.513864311451</v>
      </c>
      <c r="H32" s="60">
        <f>G32*(1+'Tenure Split (North Wales)'!G$109)+(G$44*(-(50-$B32)*('Tenure Split (North Wales)'!G$110/40)))</f>
        <v>23620.898248384157</v>
      </c>
      <c r="L32" s="64" t="str">
        <f t="shared" si="0"/>
        <v/>
      </c>
      <c r="M32" s="251"/>
      <c r="N32" s="37">
        <f t="shared" si="3"/>
        <v>1</v>
      </c>
      <c r="T32" s="1">
        <f t="shared" si="1"/>
        <v>38</v>
      </c>
      <c r="U32" s="4" t="str">
        <f t="shared" si="2"/>
        <v/>
      </c>
      <c r="V32" s="4" t="e">
        <f>IF($V$3=$M$3,M32,U32*(1+'Tenure Split (North Wales)'!C$109)+(U$44*(-(50-$T32)*('Tenure Split (North Wales)'!C$110/40))))</f>
        <v>#VALUE!</v>
      </c>
      <c r="W32" s="4" t="e">
        <f>V32*(1+'Tenure Split (North Wales)'!D$109)+(V$44*(-(50-$T32)*('Tenure Split (North Wales)'!D$110/40)))</f>
        <v>#VALUE!</v>
      </c>
      <c r="X32" s="4" t="e">
        <f>W32*(1+'Tenure Split (North Wales)'!E$109)+(W$44*(-(50-$T32)*('Tenure Split (North Wales)'!E$110/40)))</f>
        <v>#VALUE!</v>
      </c>
      <c r="Y32" s="4" t="e">
        <f>X32*(1+'Tenure Split (North Wales)'!F$109)+(X$44*(-(50-$T32)*('Tenure Split (North Wales)'!F$110/40)))</f>
        <v>#VALUE!</v>
      </c>
      <c r="Z32" s="4" t="e">
        <f>Y32*(1+'Tenure Split (North Wales)'!G$109)+(Y$44*(-(50-$T32)*('Tenure Split (North Wales)'!G$110/40)))</f>
        <v>#VALUE!</v>
      </c>
      <c r="AB32" s="1">
        <v>38</v>
      </c>
      <c r="AC32" s="4">
        <f>IF('Tenure Split (WALES)'!$D$8="WG Estimates",'Income (North Wales)'!D32,'Income (North Wales)'!V32)</f>
        <v>21017.865698087924</v>
      </c>
      <c r="AD32" s="4">
        <f>IF('Tenure Split (WALES)'!$D$8="WG Estimates",'Income (North Wales)'!E32,'Income (North Wales)'!W32)</f>
        <v>21479.162477029913</v>
      </c>
      <c r="AE32" s="4">
        <f>IF('Tenure Split (WALES)'!$D$8="WG Estimates",'Income (North Wales)'!F32,'Income (North Wales)'!X32)</f>
        <v>22102.61234308358</v>
      </c>
      <c r="AF32" s="4">
        <f>IF('Tenure Split (WALES)'!$D$8="WG Estimates",'Income (North Wales)'!G32,'Income (North Wales)'!Y32)</f>
        <v>22838.513864311451</v>
      </c>
      <c r="AG32" s="4">
        <f>IF('Tenure Split (WALES)'!$D$8="WG Estimates",'Income (North Wales)'!H32,'Income (North Wales)'!Z32)</f>
        <v>23620.898248384157</v>
      </c>
    </row>
    <row r="33" spans="2:33" x14ac:dyDescent="0.25">
      <c r="B33" s="20">
        <v>39</v>
      </c>
      <c r="C33" s="58">
        <v>20843.05</v>
      </c>
      <c r="D33" s="59">
        <f>C33*(1+'Tenure Split (North Wales)'!C$109)+(C$44*(-(50-$B33)*('Tenure Split (North Wales)'!C$110/40)))</f>
        <v>21510.393388723412</v>
      </c>
      <c r="E33" s="59">
        <f>D33*(1+'Tenure Split (North Wales)'!D$109)+(D$44*(-(50-$B33)*('Tenure Split (North Wales)'!D$110/40)))</f>
        <v>21990.945114042159</v>
      </c>
      <c r="F33" s="59">
        <f>E33*(1+'Tenure Split (North Wales)'!E$109)+(E$44*(-(50-$B33)*('Tenure Split (North Wales)'!E$110/40)))</f>
        <v>22637.943937580374</v>
      </c>
      <c r="G33" s="59">
        <f>F33*(1+'Tenure Split (North Wales)'!F$109)+(F$44*(-(50-$B33)*('Tenure Split (North Wales)'!F$110/40)))</f>
        <v>23400.681412505346</v>
      </c>
      <c r="H33" s="60">
        <f>G33*(1+'Tenure Split (North Wales)'!G$109)+(G$44*(-(50-$B33)*('Tenure Split (North Wales)'!G$110/40)))</f>
        <v>24211.704828623762</v>
      </c>
      <c r="L33" s="64" t="str">
        <f t="shared" si="0"/>
        <v/>
      </c>
      <c r="M33" s="251"/>
      <c r="N33" s="37">
        <f t="shared" si="3"/>
        <v>1</v>
      </c>
      <c r="T33" s="1">
        <f t="shared" si="1"/>
        <v>39</v>
      </c>
      <c r="U33" s="4" t="str">
        <f t="shared" si="2"/>
        <v/>
      </c>
      <c r="V33" s="4" t="e">
        <f>IF($V$3=$M$3,M33,U33*(1+'Tenure Split (North Wales)'!C$109)+(U$44*(-(50-$T33)*('Tenure Split (North Wales)'!C$110/40))))</f>
        <v>#VALUE!</v>
      </c>
      <c r="W33" s="4" t="e">
        <f>V33*(1+'Tenure Split (North Wales)'!D$109)+(V$44*(-(50-$T33)*('Tenure Split (North Wales)'!D$110/40)))</f>
        <v>#VALUE!</v>
      </c>
      <c r="X33" s="4" t="e">
        <f>W33*(1+'Tenure Split (North Wales)'!E$109)+(W$44*(-(50-$T33)*('Tenure Split (North Wales)'!E$110/40)))</f>
        <v>#VALUE!</v>
      </c>
      <c r="Y33" s="4" t="e">
        <f>X33*(1+'Tenure Split (North Wales)'!F$109)+(X$44*(-(50-$T33)*('Tenure Split (North Wales)'!F$110/40)))</f>
        <v>#VALUE!</v>
      </c>
      <c r="Z33" s="4" t="e">
        <f>Y33*(1+'Tenure Split (North Wales)'!G$109)+(Y$44*(-(50-$T33)*('Tenure Split (North Wales)'!G$110/40)))</f>
        <v>#VALUE!</v>
      </c>
      <c r="AB33" s="1">
        <v>39</v>
      </c>
      <c r="AC33" s="4">
        <f>IF('Tenure Split (WALES)'!$D$8="WG Estimates",'Income (North Wales)'!D33,'Income (North Wales)'!V33)</f>
        <v>21510.393388723412</v>
      </c>
      <c r="AD33" s="4">
        <f>IF('Tenure Split (WALES)'!$D$8="WG Estimates",'Income (North Wales)'!E33,'Income (North Wales)'!W33)</f>
        <v>21990.945114042159</v>
      </c>
      <c r="AE33" s="4">
        <f>IF('Tenure Split (WALES)'!$D$8="WG Estimates",'Income (North Wales)'!F33,'Income (North Wales)'!X33)</f>
        <v>22637.943937580374</v>
      </c>
      <c r="AF33" s="4">
        <f>IF('Tenure Split (WALES)'!$D$8="WG Estimates",'Income (North Wales)'!G33,'Income (North Wales)'!Y33)</f>
        <v>23400.681412505346</v>
      </c>
      <c r="AG33" s="4">
        <f>IF('Tenure Split (WALES)'!$D$8="WG Estimates",'Income (North Wales)'!H33,'Income (North Wales)'!Z33)</f>
        <v>24211.704828623762</v>
      </c>
    </row>
    <row r="34" spans="2:33" x14ac:dyDescent="0.25">
      <c r="B34" s="20">
        <v>40</v>
      </c>
      <c r="C34" s="58">
        <v>21225</v>
      </c>
      <c r="D34" s="59">
        <f>C34*(1+'Tenure Split (North Wales)'!C$109)+(C$44*(-(50-$B34)*('Tenure Split (North Wales)'!C$110/40)))</f>
        <v>21912.222022390175</v>
      </c>
      <c r="E34" s="59">
        <f>D34*(1+'Tenure Split (North Wales)'!D$109)+(D$44*(-(50-$B34)*('Tenure Split (North Wales)'!D$110/40)))</f>
        <v>22409.696712992616</v>
      </c>
      <c r="F34" s="59">
        <f>E34*(1+'Tenure Split (North Wales)'!E$109)+(E$44*(-(50-$B34)*('Tenure Split (North Wales)'!E$110/40)))</f>
        <v>23077.192795799285</v>
      </c>
      <c r="G34" s="59">
        <f>F34*(1+'Tenure Split (North Wales)'!F$109)+(F$44*(-(50-$B34)*('Tenure Split (North Wales)'!F$110/40)))</f>
        <v>23863.202914230071</v>
      </c>
      <c r="H34" s="60">
        <f>G34*(1+'Tenure Split (North Wales)'!G$109)+(G$44*(-(50-$B34)*('Tenure Split (North Wales)'!G$110/40)))</f>
        <v>24699.072612345899</v>
      </c>
      <c r="L34" s="64" t="str">
        <f t="shared" si="0"/>
        <v/>
      </c>
      <c r="M34" s="251"/>
      <c r="N34" s="37">
        <f t="shared" si="3"/>
        <v>1</v>
      </c>
      <c r="T34" s="1">
        <f t="shared" si="1"/>
        <v>40</v>
      </c>
      <c r="U34" s="4" t="str">
        <f t="shared" si="2"/>
        <v/>
      </c>
      <c r="V34" s="4" t="e">
        <f>IF($V$3=$M$3,M34,U34*(1+'Tenure Split (North Wales)'!C$109)+(U$44*(-(50-$T34)*('Tenure Split (North Wales)'!C$110/40))))</f>
        <v>#VALUE!</v>
      </c>
      <c r="W34" s="4" t="e">
        <f>V34*(1+'Tenure Split (North Wales)'!D$109)+(V$44*(-(50-$T34)*('Tenure Split (North Wales)'!D$110/40)))</f>
        <v>#VALUE!</v>
      </c>
      <c r="X34" s="4" t="e">
        <f>W34*(1+'Tenure Split (North Wales)'!E$109)+(W$44*(-(50-$T34)*('Tenure Split (North Wales)'!E$110/40)))</f>
        <v>#VALUE!</v>
      </c>
      <c r="Y34" s="4" t="e">
        <f>X34*(1+'Tenure Split (North Wales)'!F$109)+(X$44*(-(50-$T34)*('Tenure Split (North Wales)'!F$110/40)))</f>
        <v>#VALUE!</v>
      </c>
      <c r="Z34" s="4" t="e">
        <f>Y34*(1+'Tenure Split (North Wales)'!G$109)+(Y$44*(-(50-$T34)*('Tenure Split (North Wales)'!G$110/40)))</f>
        <v>#VALUE!</v>
      </c>
      <c r="AB34" s="1">
        <v>40</v>
      </c>
      <c r="AC34" s="4">
        <f>IF('Tenure Split (WALES)'!$D$8="WG Estimates",'Income (North Wales)'!D34,'Income (North Wales)'!V34)</f>
        <v>21912.222022390175</v>
      </c>
      <c r="AD34" s="4">
        <f>IF('Tenure Split (WALES)'!$D$8="WG Estimates",'Income (North Wales)'!E34,'Income (North Wales)'!W34)</f>
        <v>22409.696712992616</v>
      </c>
      <c r="AE34" s="4">
        <f>IF('Tenure Split (WALES)'!$D$8="WG Estimates",'Income (North Wales)'!F34,'Income (North Wales)'!X34)</f>
        <v>23077.192795799285</v>
      </c>
      <c r="AF34" s="4">
        <f>IF('Tenure Split (WALES)'!$D$8="WG Estimates",'Income (North Wales)'!G34,'Income (North Wales)'!Y34)</f>
        <v>23863.202914230071</v>
      </c>
      <c r="AG34" s="4">
        <f>IF('Tenure Split (WALES)'!$D$8="WG Estimates",'Income (North Wales)'!H34,'Income (North Wales)'!Z34)</f>
        <v>24699.072612345899</v>
      </c>
    </row>
    <row r="35" spans="2:33" x14ac:dyDescent="0.25">
      <c r="B35" s="20">
        <v>41</v>
      </c>
      <c r="C35" s="58">
        <v>21525</v>
      </c>
      <c r="D35" s="59">
        <f>C35*(1+'Tenure Split (North Wales)'!C$109)+(C$44*(-(50-$B35)*('Tenure Split (North Wales)'!C$110/40)))</f>
        <v>22229.201481187207</v>
      </c>
      <c r="E35" s="59">
        <f>D35*(1+'Tenure Split (North Wales)'!D$109)+(D$44*(-(50-$B35)*('Tenure Split (North Wales)'!D$110/40)))</f>
        <v>22741.417563436626</v>
      </c>
      <c r="F35" s="59">
        <f>E35*(1+'Tenure Split (North Wales)'!E$109)+(E$44*(-(50-$B35)*('Tenure Split (North Wales)'!E$110/40)))</f>
        <v>23426.556034863239</v>
      </c>
      <c r="G35" s="59">
        <f>F35*(1+'Tenure Split (North Wales)'!F$109)+(F$44*(-(50-$B35)*('Tenure Split (North Wales)'!F$110/40)))</f>
        <v>24232.50531198048</v>
      </c>
      <c r="H35" s="60">
        <f>G35*(1+'Tenure Split (North Wales)'!G$109)+(G$44*(-(50-$B35)*('Tenure Split (North Wales)'!G$110/40)))</f>
        <v>25089.673165764285</v>
      </c>
      <c r="L35" s="64" t="str">
        <f t="shared" si="0"/>
        <v/>
      </c>
      <c r="M35" s="251"/>
      <c r="N35" s="37">
        <f t="shared" si="3"/>
        <v>1</v>
      </c>
      <c r="T35" s="1">
        <f t="shared" si="1"/>
        <v>41</v>
      </c>
      <c r="U35" s="4" t="str">
        <f t="shared" si="2"/>
        <v/>
      </c>
      <c r="V35" s="4" t="e">
        <f>IF($V$3=$M$3,M35,U35*(1+'Tenure Split (North Wales)'!C$109)+(U$44*(-(50-$T35)*('Tenure Split (North Wales)'!C$110/40))))</f>
        <v>#VALUE!</v>
      </c>
      <c r="W35" s="4" t="e">
        <f>V35*(1+'Tenure Split (North Wales)'!D$109)+(V$44*(-(50-$T35)*('Tenure Split (North Wales)'!D$110/40)))</f>
        <v>#VALUE!</v>
      </c>
      <c r="X35" s="4" t="e">
        <f>W35*(1+'Tenure Split (North Wales)'!E$109)+(W$44*(-(50-$T35)*('Tenure Split (North Wales)'!E$110/40)))</f>
        <v>#VALUE!</v>
      </c>
      <c r="Y35" s="4" t="e">
        <f>X35*(1+'Tenure Split (North Wales)'!F$109)+(X$44*(-(50-$T35)*('Tenure Split (North Wales)'!F$110/40)))</f>
        <v>#VALUE!</v>
      </c>
      <c r="Z35" s="4" t="e">
        <f>Y35*(1+'Tenure Split (North Wales)'!G$109)+(Y$44*(-(50-$T35)*('Tenure Split (North Wales)'!G$110/40)))</f>
        <v>#VALUE!</v>
      </c>
      <c r="AB35" s="1">
        <v>41</v>
      </c>
      <c r="AC35" s="4">
        <f>IF('Tenure Split (WALES)'!$D$8="WG Estimates",'Income (North Wales)'!D35,'Income (North Wales)'!V35)</f>
        <v>22229.201481187207</v>
      </c>
      <c r="AD35" s="4">
        <f>IF('Tenure Split (WALES)'!$D$8="WG Estimates",'Income (North Wales)'!E35,'Income (North Wales)'!W35)</f>
        <v>22741.417563436626</v>
      </c>
      <c r="AE35" s="4">
        <f>IF('Tenure Split (WALES)'!$D$8="WG Estimates",'Income (North Wales)'!F35,'Income (North Wales)'!X35)</f>
        <v>23426.556034863239</v>
      </c>
      <c r="AF35" s="4">
        <f>IF('Tenure Split (WALES)'!$D$8="WG Estimates",'Income (North Wales)'!G35,'Income (North Wales)'!Y35)</f>
        <v>24232.50531198048</v>
      </c>
      <c r="AG35" s="4">
        <f>IF('Tenure Split (WALES)'!$D$8="WG Estimates",'Income (North Wales)'!H35,'Income (North Wales)'!Z35)</f>
        <v>25089.673165764285</v>
      </c>
    </row>
    <row r="36" spans="2:33" x14ac:dyDescent="0.25">
      <c r="B36" s="20">
        <v>42</v>
      </c>
      <c r="C36" s="58">
        <v>22006.57</v>
      </c>
      <c r="D36" s="59">
        <f>C36*(1+'Tenure Split (North Wales)'!C$109)+(C$44*(-(50-$B36)*('Tenure Split (North Wales)'!C$110/40)))</f>
        <v>22734.174407721832</v>
      </c>
      <c r="E36" s="59">
        <f>D36*(1+'Tenure Split (North Wales)'!D$109)+(D$44*(-(50-$B36)*('Tenure Split (North Wales)'!D$110/40)))</f>
        <v>23265.965418228589</v>
      </c>
      <c r="F36" s="59">
        <f>E36*(1+'Tenure Split (North Wales)'!E$109)+(E$44*(-(50-$B36)*('Tenure Split (North Wales)'!E$110/40)))</f>
        <v>23975.071584726022</v>
      </c>
      <c r="G36" s="59">
        <f>F36*(1+'Tenure Split (North Wales)'!F$109)+(F$44*(-(50-$B36)*('Tenure Split (North Wales)'!F$110/40)))</f>
        <v>24808.345753765239</v>
      </c>
      <c r="H36" s="60">
        <f>G36*(1+'Tenure Split (North Wales)'!G$109)+(G$44*(-(50-$B36)*('Tenure Split (North Wales)'!G$110/40)))</f>
        <v>25694.673060320561</v>
      </c>
      <c r="L36" s="64" t="str">
        <f t="shared" si="0"/>
        <v/>
      </c>
      <c r="M36" s="251"/>
      <c r="N36" s="37">
        <f t="shared" si="3"/>
        <v>1</v>
      </c>
      <c r="T36" s="1">
        <f t="shared" si="1"/>
        <v>42</v>
      </c>
      <c r="U36" s="4" t="str">
        <f t="shared" si="2"/>
        <v/>
      </c>
      <c r="V36" s="4" t="e">
        <f>IF($V$3=$M$3,M36,U36*(1+'Tenure Split (North Wales)'!C$109)+(U$44*(-(50-$T36)*('Tenure Split (North Wales)'!C$110/40))))</f>
        <v>#VALUE!</v>
      </c>
      <c r="W36" s="4" t="e">
        <f>V36*(1+'Tenure Split (North Wales)'!D$109)+(V$44*(-(50-$T36)*('Tenure Split (North Wales)'!D$110/40)))</f>
        <v>#VALUE!</v>
      </c>
      <c r="X36" s="4" t="e">
        <f>W36*(1+'Tenure Split (North Wales)'!E$109)+(W$44*(-(50-$T36)*('Tenure Split (North Wales)'!E$110/40)))</f>
        <v>#VALUE!</v>
      </c>
      <c r="Y36" s="4" t="e">
        <f>X36*(1+'Tenure Split (North Wales)'!F$109)+(X$44*(-(50-$T36)*('Tenure Split (North Wales)'!F$110/40)))</f>
        <v>#VALUE!</v>
      </c>
      <c r="Z36" s="4" t="e">
        <f>Y36*(1+'Tenure Split (North Wales)'!G$109)+(Y$44*(-(50-$T36)*('Tenure Split (North Wales)'!G$110/40)))</f>
        <v>#VALUE!</v>
      </c>
      <c r="AB36" s="1">
        <v>42</v>
      </c>
      <c r="AC36" s="4">
        <f>IF('Tenure Split (WALES)'!$D$8="WG Estimates",'Income (North Wales)'!D36,'Income (North Wales)'!V36)</f>
        <v>22734.174407721832</v>
      </c>
      <c r="AD36" s="4">
        <f>IF('Tenure Split (WALES)'!$D$8="WG Estimates",'Income (North Wales)'!E36,'Income (North Wales)'!W36)</f>
        <v>23265.965418228589</v>
      </c>
      <c r="AE36" s="4">
        <f>IF('Tenure Split (WALES)'!$D$8="WG Estimates",'Income (North Wales)'!F36,'Income (North Wales)'!X36)</f>
        <v>23975.071584726022</v>
      </c>
      <c r="AF36" s="4">
        <f>IF('Tenure Split (WALES)'!$D$8="WG Estimates",'Income (North Wales)'!G36,'Income (North Wales)'!Y36)</f>
        <v>24808.345753765239</v>
      </c>
      <c r="AG36" s="4">
        <f>IF('Tenure Split (WALES)'!$D$8="WG Estimates",'Income (North Wales)'!H36,'Income (North Wales)'!Z36)</f>
        <v>25694.673060320561</v>
      </c>
    </row>
    <row r="37" spans="2:33" x14ac:dyDescent="0.25">
      <c r="B37" s="20">
        <v>43</v>
      </c>
      <c r="C37" s="58">
        <v>22577</v>
      </c>
      <c r="D37" s="59">
        <f>C37*(1+'Tenure Split (North Wales)'!C$109)+(C$44*(-(50-$B37)*('Tenure Split (North Wales)'!C$110/40)))</f>
        <v>23331.150966702138</v>
      </c>
      <c r="E37" s="59">
        <f>D37*(1+'Tenure Split (North Wales)'!D$109)+(D$44*(-(50-$B37)*('Tenure Split (North Wales)'!D$110/40)))</f>
        <v>23884.882428753102</v>
      </c>
      <c r="F37" s="59">
        <f>E37*(1+'Tenure Split (North Wales)'!E$109)+(E$44*(-(50-$B37)*('Tenure Split (North Wales)'!E$110/40)))</f>
        <v>24621.051882826865</v>
      </c>
      <c r="G37" s="59">
        <f>F37*(1+'Tenure Split (North Wales)'!F$109)+(F$44*(-(50-$B37)*('Tenure Split (North Wales)'!F$110/40)))</f>
        <v>25485.265507071133</v>
      </c>
      <c r="H37" s="60">
        <f>G37*(1+'Tenure Split (North Wales)'!G$109)+(G$44*(-(50-$B37)*('Tenure Split (North Wales)'!G$110/40)))</f>
        <v>26404.599569700389</v>
      </c>
      <c r="L37" s="64" t="str">
        <f t="shared" si="0"/>
        <v/>
      </c>
      <c r="M37" s="251"/>
      <c r="N37" s="37">
        <f t="shared" si="3"/>
        <v>1</v>
      </c>
      <c r="T37" s="1">
        <f t="shared" si="1"/>
        <v>43</v>
      </c>
      <c r="U37" s="4" t="str">
        <f t="shared" si="2"/>
        <v/>
      </c>
      <c r="V37" s="4" t="e">
        <f>IF($V$3=$M$3,M37,U37*(1+'Tenure Split (North Wales)'!C$109)+(U$44*(-(50-$T37)*('Tenure Split (North Wales)'!C$110/40))))</f>
        <v>#VALUE!</v>
      </c>
      <c r="W37" s="4" t="e">
        <f>V37*(1+'Tenure Split (North Wales)'!D$109)+(V$44*(-(50-$T37)*('Tenure Split (North Wales)'!D$110/40)))</f>
        <v>#VALUE!</v>
      </c>
      <c r="X37" s="4" t="e">
        <f>W37*(1+'Tenure Split (North Wales)'!E$109)+(W$44*(-(50-$T37)*('Tenure Split (North Wales)'!E$110/40)))</f>
        <v>#VALUE!</v>
      </c>
      <c r="Y37" s="4" t="e">
        <f>X37*(1+'Tenure Split (North Wales)'!F$109)+(X$44*(-(50-$T37)*('Tenure Split (North Wales)'!F$110/40)))</f>
        <v>#VALUE!</v>
      </c>
      <c r="Z37" s="4" t="e">
        <f>Y37*(1+'Tenure Split (North Wales)'!G$109)+(Y$44*(-(50-$T37)*('Tenure Split (North Wales)'!G$110/40)))</f>
        <v>#VALUE!</v>
      </c>
      <c r="AB37" s="1">
        <v>43</v>
      </c>
      <c r="AC37" s="4">
        <f>IF('Tenure Split (WALES)'!$D$8="WG Estimates",'Income (North Wales)'!D37,'Income (North Wales)'!V37)</f>
        <v>23331.150966702138</v>
      </c>
      <c r="AD37" s="4">
        <f>IF('Tenure Split (WALES)'!$D$8="WG Estimates",'Income (North Wales)'!E37,'Income (North Wales)'!W37)</f>
        <v>23884.882428753102</v>
      </c>
      <c r="AE37" s="4">
        <f>IF('Tenure Split (WALES)'!$D$8="WG Estimates",'Income (North Wales)'!F37,'Income (North Wales)'!X37)</f>
        <v>24621.051882826865</v>
      </c>
      <c r="AF37" s="4">
        <f>IF('Tenure Split (WALES)'!$D$8="WG Estimates",'Income (North Wales)'!G37,'Income (North Wales)'!Y37)</f>
        <v>25485.265507071133</v>
      </c>
      <c r="AG37" s="4">
        <f>IF('Tenure Split (WALES)'!$D$8="WG Estimates",'Income (North Wales)'!H37,'Income (North Wales)'!Z37)</f>
        <v>26404.599569700389</v>
      </c>
    </row>
    <row r="38" spans="2:33" x14ac:dyDescent="0.25">
      <c r="B38" s="20">
        <v>44</v>
      </c>
      <c r="C38" s="58">
        <v>22897.16</v>
      </c>
      <c r="D38" s="59">
        <f>C38*(1+'Tenure Split (North Wales)'!C$109)+(C$44*(-(50-$B38)*('Tenure Split (North Wales)'!C$110/40)))</f>
        <v>23669.003633130338</v>
      </c>
      <c r="E38" s="59">
        <f>D38*(1+'Tenure Split (North Wales)'!D$109)+(D$44*(-(50-$B38)*('Tenure Split (North Wales)'!D$110/40)))</f>
        <v>24238.01316192915</v>
      </c>
      <c r="F38" s="59">
        <f>E38*(1+'Tenure Split (North Wales)'!E$109)+(E$44*(-(50-$B38)*('Tenure Split (North Wales)'!E$110/40)))</f>
        <v>24992.527313253413</v>
      </c>
      <c r="G38" s="59">
        <f>F38*(1+'Tenure Split (North Wales)'!F$109)+(F$44*(-(50-$B38)*('Tenure Split (North Wales)'!F$110/40)))</f>
        <v>25877.500145652823</v>
      </c>
      <c r="H38" s="60">
        <f>G38*(1+'Tenure Split (North Wales)'!G$109)+(G$44*(-(50-$B38)*('Tenure Split (North Wales)'!G$110/40)))</f>
        <v>26819.005216015968</v>
      </c>
      <c r="L38" s="64" t="str">
        <f t="shared" si="0"/>
        <v/>
      </c>
      <c r="M38" s="251"/>
      <c r="N38" s="37">
        <f t="shared" si="3"/>
        <v>1</v>
      </c>
      <c r="T38" s="1">
        <f t="shared" si="1"/>
        <v>44</v>
      </c>
      <c r="U38" s="4" t="str">
        <f t="shared" si="2"/>
        <v/>
      </c>
      <c r="V38" s="4" t="e">
        <f>IF($V$3=$M$3,M38,U38*(1+'Tenure Split (North Wales)'!C$109)+(U$44*(-(50-$T38)*('Tenure Split (North Wales)'!C$110/40))))</f>
        <v>#VALUE!</v>
      </c>
      <c r="W38" s="4" t="e">
        <f>V38*(1+'Tenure Split (North Wales)'!D$109)+(V$44*(-(50-$T38)*('Tenure Split (North Wales)'!D$110/40)))</f>
        <v>#VALUE!</v>
      </c>
      <c r="X38" s="4" t="e">
        <f>W38*(1+'Tenure Split (North Wales)'!E$109)+(W$44*(-(50-$T38)*('Tenure Split (North Wales)'!E$110/40)))</f>
        <v>#VALUE!</v>
      </c>
      <c r="Y38" s="4" t="e">
        <f>X38*(1+'Tenure Split (North Wales)'!F$109)+(X$44*(-(50-$T38)*('Tenure Split (North Wales)'!F$110/40)))</f>
        <v>#VALUE!</v>
      </c>
      <c r="Z38" s="4" t="e">
        <f>Y38*(1+'Tenure Split (North Wales)'!G$109)+(Y$44*(-(50-$T38)*('Tenure Split (North Wales)'!G$110/40)))</f>
        <v>#VALUE!</v>
      </c>
      <c r="AB38" s="1">
        <v>44</v>
      </c>
      <c r="AC38" s="4">
        <f>IF('Tenure Split (WALES)'!$D$8="WG Estimates",'Income (North Wales)'!D38,'Income (North Wales)'!V38)</f>
        <v>23669.003633130338</v>
      </c>
      <c r="AD38" s="4">
        <f>IF('Tenure Split (WALES)'!$D$8="WG Estimates",'Income (North Wales)'!E38,'Income (North Wales)'!W38)</f>
        <v>24238.01316192915</v>
      </c>
      <c r="AE38" s="4">
        <f>IF('Tenure Split (WALES)'!$D$8="WG Estimates",'Income (North Wales)'!F38,'Income (North Wales)'!X38)</f>
        <v>24992.527313253413</v>
      </c>
      <c r="AF38" s="4">
        <f>IF('Tenure Split (WALES)'!$D$8="WG Estimates",'Income (North Wales)'!G38,'Income (North Wales)'!Y38)</f>
        <v>25877.500145652823</v>
      </c>
      <c r="AG38" s="4">
        <f>IF('Tenure Split (WALES)'!$D$8="WG Estimates",'Income (North Wales)'!H38,'Income (North Wales)'!Z38)</f>
        <v>26819.005216015968</v>
      </c>
    </row>
    <row r="39" spans="2:33" x14ac:dyDescent="0.25">
      <c r="B39" s="20">
        <v>45</v>
      </c>
      <c r="C39" s="58">
        <v>23525</v>
      </c>
      <c r="D39" s="59">
        <f>C39*(1+'Tenure Split (North Wales)'!C$109)+(C$44*(-(50-$B39)*('Tenure Split (North Wales)'!C$110/40)))</f>
        <v>24325.42120650077</v>
      </c>
      <c r="E39" s="59">
        <f>D39*(1+'Tenure Split (North Wales)'!D$109)+(D$44*(-(50-$B39)*('Tenure Split (North Wales)'!D$110/40)))</f>
        <v>24917.89948632499</v>
      </c>
      <c r="F39" s="59">
        <f>E39*(1+'Tenure Split (North Wales)'!E$109)+(E$44*(-(50-$B39)*('Tenure Split (North Wales)'!E$110/40)))</f>
        <v>25701.476902332728</v>
      </c>
      <c r="G39" s="59">
        <f>F39*(1+'Tenure Split (North Wales)'!F$109)+(F$44*(-(50-$B39)*('Tenure Split (North Wales)'!F$110/40)))</f>
        <v>26619.724459778303</v>
      </c>
      <c r="H39" s="60">
        <f>G39*(1+'Tenure Split (North Wales)'!G$109)+(G$44*(-(50-$B39)*('Tenure Split (North Wales)'!G$110/40)))</f>
        <v>27596.721922976492</v>
      </c>
      <c r="L39" s="64" t="str">
        <f t="shared" si="0"/>
        <v/>
      </c>
      <c r="M39" s="251"/>
      <c r="N39" s="37">
        <f t="shared" si="3"/>
        <v>1</v>
      </c>
      <c r="T39" s="1">
        <f t="shared" si="1"/>
        <v>45</v>
      </c>
      <c r="U39" s="4" t="str">
        <f t="shared" si="2"/>
        <v/>
      </c>
      <c r="V39" s="4" t="e">
        <f>IF($V$3=$M$3,M39,U39*(1+'Tenure Split (North Wales)'!C$109)+(U$44*(-(50-$T39)*('Tenure Split (North Wales)'!C$110/40))))</f>
        <v>#VALUE!</v>
      </c>
      <c r="W39" s="4" t="e">
        <f>V39*(1+'Tenure Split (North Wales)'!D$109)+(V$44*(-(50-$T39)*('Tenure Split (North Wales)'!D$110/40)))</f>
        <v>#VALUE!</v>
      </c>
      <c r="X39" s="4" t="e">
        <f>W39*(1+'Tenure Split (North Wales)'!E$109)+(W$44*(-(50-$T39)*('Tenure Split (North Wales)'!E$110/40)))</f>
        <v>#VALUE!</v>
      </c>
      <c r="Y39" s="4" t="e">
        <f>X39*(1+'Tenure Split (North Wales)'!F$109)+(X$44*(-(50-$T39)*('Tenure Split (North Wales)'!F$110/40)))</f>
        <v>#VALUE!</v>
      </c>
      <c r="Z39" s="4" t="e">
        <f>Y39*(1+'Tenure Split (North Wales)'!G$109)+(Y$44*(-(50-$T39)*('Tenure Split (North Wales)'!G$110/40)))</f>
        <v>#VALUE!</v>
      </c>
      <c r="AB39" s="1">
        <v>45</v>
      </c>
      <c r="AC39" s="4">
        <f>IF('Tenure Split (WALES)'!$D$8="WG Estimates",'Income (North Wales)'!D39,'Income (North Wales)'!V39)</f>
        <v>24325.42120650077</v>
      </c>
      <c r="AD39" s="4">
        <f>IF('Tenure Split (WALES)'!$D$8="WG Estimates",'Income (North Wales)'!E39,'Income (North Wales)'!W39)</f>
        <v>24917.89948632499</v>
      </c>
      <c r="AE39" s="4">
        <f>IF('Tenure Split (WALES)'!$D$8="WG Estimates",'Income (North Wales)'!F39,'Income (North Wales)'!X39)</f>
        <v>25701.476902332728</v>
      </c>
      <c r="AF39" s="4">
        <f>IF('Tenure Split (WALES)'!$D$8="WG Estimates",'Income (North Wales)'!G39,'Income (North Wales)'!Y39)</f>
        <v>26619.724459778303</v>
      </c>
      <c r="AG39" s="4">
        <f>IF('Tenure Split (WALES)'!$D$8="WG Estimates",'Income (North Wales)'!H39,'Income (North Wales)'!Z39)</f>
        <v>27596.721922976492</v>
      </c>
    </row>
    <row r="40" spans="2:33" x14ac:dyDescent="0.25">
      <c r="B40" s="20">
        <v>46</v>
      </c>
      <c r="C40" s="58">
        <v>24096.6</v>
      </c>
      <c r="D40" s="59">
        <f>C40*(1+'Tenure Split (North Wales)'!C$109)+(C$44*(-(50-$B40)*('Tenure Split (North Wales)'!C$110/40)))</f>
        <v>24923.609156995382</v>
      </c>
      <c r="E40" s="59">
        <f>D40*(1+'Tenure Split (North Wales)'!D$109)+(D$44*(-(50-$B40)*('Tenure Split (North Wales)'!D$110/40)))</f>
        <v>25538.05903468663</v>
      </c>
      <c r="F40" s="59">
        <f>E40*(1+'Tenure Split (North Wales)'!E$109)+(E$44*(-(50-$B40)*('Tenure Split (North Wales)'!E$110/40)))</f>
        <v>26348.740497253719</v>
      </c>
      <c r="G40" s="59">
        <f>F40*(1+'Tenure Split (North Wales)'!F$109)+(F$44*(-(50-$B40)*('Tenure Split (North Wales)'!F$110/40)))</f>
        <v>27297.975102061009</v>
      </c>
      <c r="H40" s="60">
        <f>G40*(1+'Tenure Split (North Wales)'!G$109)+(G$44*(-(50-$B40)*('Tenure Split (North Wales)'!G$110/40)))</f>
        <v>28308.029977926246</v>
      </c>
      <c r="L40" s="64" t="str">
        <f t="shared" si="0"/>
        <v/>
      </c>
      <c r="M40" s="251"/>
      <c r="N40" s="37">
        <f t="shared" si="3"/>
        <v>1</v>
      </c>
      <c r="T40" s="1">
        <f t="shared" si="1"/>
        <v>46</v>
      </c>
      <c r="U40" s="4" t="str">
        <f t="shared" si="2"/>
        <v/>
      </c>
      <c r="V40" s="4" t="e">
        <f>IF($V$3=$M$3,M40,U40*(1+'Tenure Split (North Wales)'!C$109)+(U$44*(-(50-$T40)*('Tenure Split (North Wales)'!C$110/40))))</f>
        <v>#VALUE!</v>
      </c>
      <c r="W40" s="4" t="e">
        <f>V40*(1+'Tenure Split (North Wales)'!D$109)+(V$44*(-(50-$T40)*('Tenure Split (North Wales)'!D$110/40)))</f>
        <v>#VALUE!</v>
      </c>
      <c r="X40" s="4" t="e">
        <f>W40*(1+'Tenure Split (North Wales)'!E$109)+(W$44*(-(50-$T40)*('Tenure Split (North Wales)'!E$110/40)))</f>
        <v>#VALUE!</v>
      </c>
      <c r="Y40" s="4" t="e">
        <f>X40*(1+'Tenure Split (North Wales)'!F$109)+(X$44*(-(50-$T40)*('Tenure Split (North Wales)'!F$110/40)))</f>
        <v>#VALUE!</v>
      </c>
      <c r="Z40" s="4" t="e">
        <f>Y40*(1+'Tenure Split (North Wales)'!G$109)+(Y$44*(-(50-$T40)*('Tenure Split (North Wales)'!G$110/40)))</f>
        <v>#VALUE!</v>
      </c>
      <c r="AB40" s="1">
        <v>46</v>
      </c>
      <c r="AC40" s="4">
        <f>IF('Tenure Split (WALES)'!$D$8="WG Estimates",'Income (North Wales)'!D40,'Income (North Wales)'!V40)</f>
        <v>24923.609156995382</v>
      </c>
      <c r="AD40" s="4">
        <f>IF('Tenure Split (WALES)'!$D$8="WG Estimates",'Income (North Wales)'!E40,'Income (North Wales)'!W40)</f>
        <v>25538.05903468663</v>
      </c>
      <c r="AE40" s="4">
        <f>IF('Tenure Split (WALES)'!$D$8="WG Estimates",'Income (North Wales)'!F40,'Income (North Wales)'!X40)</f>
        <v>26348.740497253719</v>
      </c>
      <c r="AF40" s="4">
        <f>IF('Tenure Split (WALES)'!$D$8="WG Estimates",'Income (North Wales)'!G40,'Income (North Wales)'!Y40)</f>
        <v>27297.975102061009</v>
      </c>
      <c r="AG40" s="4">
        <f>IF('Tenure Split (WALES)'!$D$8="WG Estimates",'Income (North Wales)'!H40,'Income (North Wales)'!Z40)</f>
        <v>28308.029977926246</v>
      </c>
    </row>
    <row r="41" spans="2:33" x14ac:dyDescent="0.25">
      <c r="B41" s="20">
        <v>47</v>
      </c>
      <c r="C41" s="58">
        <v>24606.400000000001</v>
      </c>
      <c r="D41" s="59">
        <f>C41*(1+'Tenure Split (North Wales)'!C$109)+(C$44*(-(50-$B41)*('Tenure Split (North Wales)'!C$110/40)))</f>
        <v>25457.81078647781</v>
      </c>
      <c r="E41" s="59">
        <f>D41*(1+'Tenure Split (North Wales)'!D$109)+(D$44*(-(50-$B41)*('Tenure Split (North Wales)'!D$110/40)))</f>
        <v>26092.587097292348</v>
      </c>
      <c r="F41" s="59">
        <f>E41*(1+'Tenure Split (North Wales)'!E$109)+(E$44*(-(50-$B41)*('Tenure Split (North Wales)'!E$110/40)))</f>
        <v>26928.219696033459</v>
      </c>
      <c r="G41" s="59">
        <f>F41*(1+'Tenure Split (North Wales)'!F$109)+(F$44*(-(50-$B41)*('Tenure Split (North Wales)'!F$110/40)))</f>
        <v>27905.927506081218</v>
      </c>
      <c r="H41" s="60">
        <f>G41*(1+'Tenure Split (North Wales)'!G$109)+(G$44*(-(50-$B41)*('Tenure Split (North Wales)'!G$110/40)))</f>
        <v>28946.364087387647</v>
      </c>
      <c r="L41" s="64" t="str">
        <f t="shared" si="0"/>
        <v/>
      </c>
      <c r="M41" s="251"/>
      <c r="N41" s="37">
        <f t="shared" si="3"/>
        <v>1</v>
      </c>
      <c r="T41" s="1">
        <f t="shared" si="1"/>
        <v>47</v>
      </c>
      <c r="U41" s="4" t="str">
        <f t="shared" si="2"/>
        <v/>
      </c>
      <c r="V41" s="4" t="e">
        <f>IF($V$3=$M$3,M41,U41*(1+'Tenure Split (North Wales)'!C$109)+(U$44*(-(50-$T41)*('Tenure Split (North Wales)'!C$110/40))))</f>
        <v>#VALUE!</v>
      </c>
      <c r="W41" s="4" t="e">
        <f>V41*(1+'Tenure Split (North Wales)'!D$109)+(V$44*(-(50-$T41)*('Tenure Split (North Wales)'!D$110/40)))</f>
        <v>#VALUE!</v>
      </c>
      <c r="X41" s="4" t="e">
        <f>W41*(1+'Tenure Split (North Wales)'!E$109)+(W$44*(-(50-$T41)*('Tenure Split (North Wales)'!E$110/40)))</f>
        <v>#VALUE!</v>
      </c>
      <c r="Y41" s="4" t="e">
        <f>X41*(1+'Tenure Split (North Wales)'!F$109)+(X$44*(-(50-$T41)*('Tenure Split (North Wales)'!F$110/40)))</f>
        <v>#VALUE!</v>
      </c>
      <c r="Z41" s="4" t="e">
        <f>Y41*(1+'Tenure Split (North Wales)'!G$109)+(Y$44*(-(50-$T41)*('Tenure Split (North Wales)'!G$110/40)))</f>
        <v>#VALUE!</v>
      </c>
      <c r="AB41" s="1">
        <v>47</v>
      </c>
      <c r="AC41" s="4">
        <f>IF('Tenure Split (WALES)'!$D$8="WG Estimates",'Income (North Wales)'!D41,'Income (North Wales)'!V41)</f>
        <v>25457.81078647781</v>
      </c>
      <c r="AD41" s="4">
        <f>IF('Tenure Split (WALES)'!$D$8="WG Estimates",'Income (North Wales)'!E41,'Income (North Wales)'!W41)</f>
        <v>26092.587097292348</v>
      </c>
      <c r="AE41" s="4">
        <f>IF('Tenure Split (WALES)'!$D$8="WG Estimates",'Income (North Wales)'!F41,'Income (North Wales)'!X41)</f>
        <v>26928.219696033459</v>
      </c>
      <c r="AF41" s="4">
        <f>IF('Tenure Split (WALES)'!$D$8="WG Estimates",'Income (North Wales)'!G41,'Income (North Wales)'!Y41)</f>
        <v>27905.927506081218</v>
      </c>
      <c r="AG41" s="4">
        <f>IF('Tenure Split (WALES)'!$D$8="WG Estimates",'Income (North Wales)'!H41,'Income (North Wales)'!Z41)</f>
        <v>28946.364087387647</v>
      </c>
    </row>
    <row r="42" spans="2:33" x14ac:dyDescent="0.25">
      <c r="B42" s="20">
        <v>48</v>
      </c>
      <c r="C42" s="58">
        <v>24932.5</v>
      </c>
      <c r="D42" s="59">
        <f>C42*(1+'Tenure Split (North Wales)'!C$109)+(C$44*(-(50-$B42)*('Tenure Split (North Wales)'!C$110/40)))</f>
        <v>25801.813594440191</v>
      </c>
      <c r="E42" s="59">
        <f>D42*(1+'Tenure Split (North Wales)'!D$109)+(D$44*(-(50-$B42)*('Tenure Split (North Wales)'!D$110/40)))</f>
        <v>26452.026099487648</v>
      </c>
      <c r="F42" s="59">
        <f>E42*(1+'Tenure Split (North Wales)'!E$109)+(E$44*(-(50-$B42)*('Tenure Split (North Wales)'!E$110/40)))</f>
        <v>27306.210325700762</v>
      </c>
      <c r="G42" s="59">
        <f>F42*(1+'Tenure Split (North Wales)'!F$109)+(F$44*(-(50-$B42)*('Tenure Split (North Wales)'!F$110/40)))</f>
        <v>28304.91896562211</v>
      </c>
      <c r="H42" s="60">
        <f>G42*(1+'Tenure Split (North Wales)'!G$109)+(G$44*(-(50-$B42)*('Tenure Split (North Wales)'!G$110/40)))</f>
        <v>29367.783734288991</v>
      </c>
      <c r="L42" s="64" t="str">
        <f t="shared" si="0"/>
        <v/>
      </c>
      <c r="M42" s="251"/>
      <c r="N42" s="37">
        <f t="shared" si="3"/>
        <v>1</v>
      </c>
      <c r="T42" s="1">
        <f t="shared" si="1"/>
        <v>48</v>
      </c>
      <c r="U42" s="4" t="str">
        <f t="shared" si="2"/>
        <v/>
      </c>
      <c r="V42" s="4" t="e">
        <f>IF($V$3=$M$3,M42,U42*(1+'Tenure Split (North Wales)'!C$109)+(U$44*(-(50-$T42)*('Tenure Split (North Wales)'!C$110/40))))</f>
        <v>#VALUE!</v>
      </c>
      <c r="W42" s="4" t="e">
        <f>V42*(1+'Tenure Split (North Wales)'!D$109)+(V$44*(-(50-$T42)*('Tenure Split (North Wales)'!D$110/40)))</f>
        <v>#VALUE!</v>
      </c>
      <c r="X42" s="4" t="e">
        <f>W42*(1+'Tenure Split (North Wales)'!E$109)+(W$44*(-(50-$T42)*('Tenure Split (North Wales)'!E$110/40)))</f>
        <v>#VALUE!</v>
      </c>
      <c r="Y42" s="4" t="e">
        <f>X42*(1+'Tenure Split (North Wales)'!F$109)+(X$44*(-(50-$T42)*('Tenure Split (North Wales)'!F$110/40)))</f>
        <v>#VALUE!</v>
      </c>
      <c r="Z42" s="4" t="e">
        <f>Y42*(1+'Tenure Split (North Wales)'!G$109)+(Y$44*(-(50-$T42)*('Tenure Split (North Wales)'!G$110/40)))</f>
        <v>#VALUE!</v>
      </c>
      <c r="AB42" s="1">
        <v>48</v>
      </c>
      <c r="AC42" s="4">
        <f>IF('Tenure Split (WALES)'!$D$8="WG Estimates",'Income (North Wales)'!D42,'Income (North Wales)'!V42)</f>
        <v>25801.813594440191</v>
      </c>
      <c r="AD42" s="4">
        <f>IF('Tenure Split (WALES)'!$D$8="WG Estimates",'Income (North Wales)'!E42,'Income (North Wales)'!W42)</f>
        <v>26452.026099487648</v>
      </c>
      <c r="AE42" s="4">
        <f>IF('Tenure Split (WALES)'!$D$8="WG Estimates",'Income (North Wales)'!F42,'Income (North Wales)'!X42)</f>
        <v>27306.210325700762</v>
      </c>
      <c r="AF42" s="4">
        <f>IF('Tenure Split (WALES)'!$D$8="WG Estimates",'Income (North Wales)'!G42,'Income (North Wales)'!Y42)</f>
        <v>28304.91896562211</v>
      </c>
      <c r="AG42" s="4">
        <f>IF('Tenure Split (WALES)'!$D$8="WG Estimates",'Income (North Wales)'!H42,'Income (North Wales)'!Z42)</f>
        <v>29367.783734288991</v>
      </c>
    </row>
    <row r="43" spans="2:33" x14ac:dyDescent="0.25">
      <c r="B43" s="20">
        <v>49</v>
      </c>
      <c r="C43" s="58">
        <v>25032.5</v>
      </c>
      <c r="D43" s="59">
        <f>C43*(1+'Tenure Split (North Wales)'!C$109)+(C$44*(-(50-$B43)*('Tenure Split (North Wales)'!C$110/40)))</f>
        <v>25911.717580705867</v>
      </c>
      <c r="E43" s="59">
        <f>D43*(1+'Tenure Split (North Wales)'!D$109)+(D$44*(-(50-$B43)*('Tenure Split (North Wales)'!D$110/40)))</f>
        <v>26571.347319653574</v>
      </c>
      <c r="F43" s="59">
        <f>E43*(1+'Tenure Split (North Wales)'!E$109)+(E$44*(-(50-$B43)*('Tenure Split (North Wales)'!E$110/40)))</f>
        <v>27436.2065869613</v>
      </c>
      <c r="G43" s="59">
        <f>F43*(1+'Tenure Split (North Wales)'!F$109)+(F$44*(-(50-$B43)*('Tenure Split (North Wales)'!F$110/40)))</f>
        <v>28446.718974173476</v>
      </c>
      <c r="H43" s="60">
        <f>G43*(1+'Tenure Split (North Wales)'!G$109)+(G$44*(-(50-$B43)*('Tenure Split (North Wales)'!G$110/40)))</f>
        <v>29522.222651822711</v>
      </c>
      <c r="L43" s="64" t="str">
        <f t="shared" si="0"/>
        <v/>
      </c>
      <c r="M43" s="251"/>
      <c r="N43" s="37">
        <f t="shared" si="3"/>
        <v>1</v>
      </c>
      <c r="T43" s="1">
        <f t="shared" si="1"/>
        <v>49</v>
      </c>
      <c r="U43" s="4" t="str">
        <f t="shared" si="2"/>
        <v/>
      </c>
      <c r="V43" s="4" t="e">
        <f>IF($V$3=$M$3,M43,U43*(1+'Tenure Split (North Wales)'!C$109)+(U$44*(-(50-$T43)*('Tenure Split (North Wales)'!C$110/40))))</f>
        <v>#VALUE!</v>
      </c>
      <c r="W43" s="4" t="e">
        <f>V43*(1+'Tenure Split (North Wales)'!D$109)+(V$44*(-(50-$T43)*('Tenure Split (North Wales)'!D$110/40)))</f>
        <v>#VALUE!</v>
      </c>
      <c r="X43" s="4" t="e">
        <f>W43*(1+'Tenure Split (North Wales)'!E$109)+(W$44*(-(50-$T43)*('Tenure Split (North Wales)'!E$110/40)))</f>
        <v>#VALUE!</v>
      </c>
      <c r="Y43" s="4" t="e">
        <f>X43*(1+'Tenure Split (North Wales)'!F$109)+(X$44*(-(50-$T43)*('Tenure Split (North Wales)'!F$110/40)))</f>
        <v>#VALUE!</v>
      </c>
      <c r="Z43" s="4" t="e">
        <f>Y43*(1+'Tenure Split (North Wales)'!G$109)+(Y$44*(-(50-$T43)*('Tenure Split (North Wales)'!G$110/40)))</f>
        <v>#VALUE!</v>
      </c>
      <c r="AB43" s="1">
        <v>49</v>
      </c>
      <c r="AC43" s="4">
        <f>IF('Tenure Split (WALES)'!$D$8="WG Estimates",'Income (North Wales)'!D43,'Income (North Wales)'!V43)</f>
        <v>25911.717580705867</v>
      </c>
      <c r="AD43" s="4">
        <f>IF('Tenure Split (WALES)'!$D$8="WG Estimates",'Income (North Wales)'!E43,'Income (North Wales)'!W43)</f>
        <v>26571.347319653574</v>
      </c>
      <c r="AE43" s="4">
        <f>IF('Tenure Split (WALES)'!$D$8="WG Estimates",'Income (North Wales)'!F43,'Income (North Wales)'!X43)</f>
        <v>27436.2065869613</v>
      </c>
      <c r="AF43" s="4">
        <f>IF('Tenure Split (WALES)'!$D$8="WG Estimates",'Income (North Wales)'!G43,'Income (North Wales)'!Y43)</f>
        <v>28446.718974173476</v>
      </c>
      <c r="AG43" s="4">
        <f>IF('Tenure Split (WALES)'!$D$8="WG Estimates",'Income (North Wales)'!H43,'Income (North Wales)'!Z43)</f>
        <v>29522.222651822711</v>
      </c>
    </row>
    <row r="44" spans="2:33" x14ac:dyDescent="0.25">
      <c r="B44" s="20">
        <v>50</v>
      </c>
      <c r="C44" s="58">
        <v>25465</v>
      </c>
      <c r="D44" s="59">
        <f>C44*(1+'Tenure Split (North Wales)'!C$109)+(C$44*(-(50-$B44)*('Tenure Split (North Wales)'!C$110/40)))</f>
        <v>26365.884540054925</v>
      </c>
      <c r="E44" s="59">
        <f>D44*(1+'Tenure Split (North Wales)'!D$109)+(D$44*(-(50-$B44)*('Tenure Split (North Wales)'!D$110/40)))</f>
        <v>27043.782925156815</v>
      </c>
      <c r="F44" s="59">
        <f>E44*(1+'Tenure Split (North Wales)'!E$109)+(E$44*(-(50-$B44)*('Tenure Split (North Wales)'!E$110/40)))</f>
        <v>27930.900448820023</v>
      </c>
      <c r="G44" s="59">
        <f>F44*(1+'Tenure Split (North Wales)'!F$109)+(F$44*(-(50-$B44)*('Tenure Split (North Wales)'!F$110/40)))</f>
        <v>28966.741704768257</v>
      </c>
      <c r="H44" s="60">
        <f>G44*(1+'Tenure Split (North Wales)'!G$109)+(G$44*(-(50-$B44)*('Tenure Split (North Wales)'!G$110/40)))</f>
        <v>30069.280289014696</v>
      </c>
      <c r="L44" s="64" t="str">
        <f t="shared" si="0"/>
        <v/>
      </c>
      <c r="M44" s="251"/>
      <c r="N44" s="37">
        <f t="shared" si="3"/>
        <v>1</v>
      </c>
      <c r="T44" s="1">
        <f t="shared" si="1"/>
        <v>50</v>
      </c>
      <c r="U44" s="4" t="str">
        <f t="shared" si="2"/>
        <v/>
      </c>
      <c r="V44" s="4" t="e">
        <f>IF($V$3=$M$3,M44,U44*(1+'Tenure Split (North Wales)'!C$109)+(U$44*(-(50-$T44)*('Tenure Split (North Wales)'!C$110/40))))</f>
        <v>#VALUE!</v>
      </c>
      <c r="W44" s="4" t="e">
        <f>V44*(1+'Tenure Split (North Wales)'!D$109)+(V$44*(-(50-$T44)*('Tenure Split (North Wales)'!D$110/40)))</f>
        <v>#VALUE!</v>
      </c>
      <c r="X44" s="4" t="e">
        <f>W44*(1+'Tenure Split (North Wales)'!E$109)+(W$44*(-(50-$T44)*('Tenure Split (North Wales)'!E$110/40)))</f>
        <v>#VALUE!</v>
      </c>
      <c r="Y44" s="4" t="e">
        <f>X44*(1+'Tenure Split (North Wales)'!F$109)+(X$44*(-(50-$T44)*('Tenure Split (North Wales)'!F$110/40)))</f>
        <v>#VALUE!</v>
      </c>
      <c r="Z44" s="4" t="e">
        <f>Y44*(1+'Tenure Split (North Wales)'!G$109)+(Y$44*(-(50-$T44)*('Tenure Split (North Wales)'!G$110/40)))</f>
        <v>#VALUE!</v>
      </c>
      <c r="AB44" s="1">
        <v>50</v>
      </c>
      <c r="AC44" s="4">
        <f>IF('Tenure Split (WALES)'!$D$8="WG Estimates",'Income (North Wales)'!D44,'Income (North Wales)'!V44)</f>
        <v>26365.884540054925</v>
      </c>
      <c r="AD44" s="4">
        <f>IF('Tenure Split (WALES)'!$D$8="WG Estimates",'Income (North Wales)'!E44,'Income (North Wales)'!W44)</f>
        <v>27043.782925156815</v>
      </c>
      <c r="AE44" s="4">
        <f>IF('Tenure Split (WALES)'!$D$8="WG Estimates",'Income (North Wales)'!F44,'Income (North Wales)'!X44)</f>
        <v>27930.900448820023</v>
      </c>
      <c r="AF44" s="4">
        <f>IF('Tenure Split (WALES)'!$D$8="WG Estimates",'Income (North Wales)'!G44,'Income (North Wales)'!Y44)</f>
        <v>28966.741704768257</v>
      </c>
      <c r="AG44" s="4">
        <f>IF('Tenure Split (WALES)'!$D$8="WG Estimates",'Income (North Wales)'!H44,'Income (North Wales)'!Z44)</f>
        <v>30069.280289014696</v>
      </c>
    </row>
    <row r="45" spans="2:33" x14ac:dyDescent="0.25">
      <c r="B45" s="20">
        <v>51</v>
      </c>
      <c r="C45" s="58">
        <v>26018.75</v>
      </c>
      <c r="D45" s="59">
        <f>C45*(1+'Tenure Split (North Wales)'!C$109)+(C$44*(-(50-$B45)*('Tenure Split (North Wales)'!C$110/40)))</f>
        <v>26945.591004626116</v>
      </c>
      <c r="E45" s="59">
        <f>D45*(1+'Tenure Split (North Wales)'!D$109)+(D$44*(-(50-$B45)*('Tenure Split (North Wales)'!D$110/40)))</f>
        <v>27644.985806516135</v>
      </c>
      <c r="F45" s="59">
        <f>E45*(1+'Tenure Split (North Wales)'!E$109)+(E$44*(-(50-$B45)*('Tenure Split (North Wales)'!E$110/40)))</f>
        <v>28558.585540972057</v>
      </c>
      <c r="G45" s="59">
        <f>F45*(1+'Tenure Split (North Wales)'!F$109)+(F$44*(-(50-$B45)*('Tenure Split (North Wales)'!F$110/40)))</f>
        <v>29624.687758814947</v>
      </c>
      <c r="H45" s="60">
        <f>G45*(1+'Tenure Split (North Wales)'!G$109)+(G$44*(-(50-$B45)*('Tenure Split (North Wales)'!G$110/40)))</f>
        <v>30759.510917961743</v>
      </c>
      <c r="L45" s="64" t="str">
        <f t="shared" si="0"/>
        <v/>
      </c>
      <c r="M45" s="251"/>
      <c r="N45" s="37">
        <f t="shared" si="3"/>
        <v>1</v>
      </c>
      <c r="T45" s="1">
        <f t="shared" si="1"/>
        <v>51</v>
      </c>
      <c r="U45" s="4" t="str">
        <f t="shared" si="2"/>
        <v/>
      </c>
      <c r="V45" s="4" t="e">
        <f>IF($V$3=$M$3,M45,U45*(1+'Tenure Split (North Wales)'!C$109)+(U$44*(-(50-$T45)*('Tenure Split (North Wales)'!C$110/40))))</f>
        <v>#VALUE!</v>
      </c>
      <c r="W45" s="4" t="e">
        <f>V45*(1+'Tenure Split (North Wales)'!D$109)+(V$44*(-(50-$T45)*('Tenure Split (North Wales)'!D$110/40)))</f>
        <v>#VALUE!</v>
      </c>
      <c r="X45" s="4" t="e">
        <f>W45*(1+'Tenure Split (North Wales)'!E$109)+(W$44*(-(50-$T45)*('Tenure Split (North Wales)'!E$110/40)))</f>
        <v>#VALUE!</v>
      </c>
      <c r="Y45" s="4" t="e">
        <f>X45*(1+'Tenure Split (North Wales)'!F$109)+(X$44*(-(50-$T45)*('Tenure Split (North Wales)'!F$110/40)))</f>
        <v>#VALUE!</v>
      </c>
      <c r="Z45" s="4" t="e">
        <f>Y45*(1+'Tenure Split (North Wales)'!G$109)+(Y$44*(-(50-$T45)*('Tenure Split (North Wales)'!G$110/40)))</f>
        <v>#VALUE!</v>
      </c>
      <c r="AB45" s="1">
        <v>51</v>
      </c>
      <c r="AC45" s="4">
        <f>IF('Tenure Split (WALES)'!$D$8="WG Estimates",'Income (North Wales)'!D45,'Income (North Wales)'!V45)</f>
        <v>26945.591004626116</v>
      </c>
      <c r="AD45" s="4">
        <f>IF('Tenure Split (WALES)'!$D$8="WG Estimates",'Income (North Wales)'!E45,'Income (North Wales)'!W45)</f>
        <v>27644.985806516135</v>
      </c>
      <c r="AE45" s="4">
        <f>IF('Tenure Split (WALES)'!$D$8="WG Estimates",'Income (North Wales)'!F45,'Income (North Wales)'!X45)</f>
        <v>28558.585540972057</v>
      </c>
      <c r="AF45" s="4">
        <f>IF('Tenure Split (WALES)'!$D$8="WG Estimates",'Income (North Wales)'!G45,'Income (North Wales)'!Y45)</f>
        <v>29624.687758814947</v>
      </c>
      <c r="AG45" s="4">
        <f>IF('Tenure Split (WALES)'!$D$8="WG Estimates",'Income (North Wales)'!H45,'Income (North Wales)'!Z45)</f>
        <v>30759.510917961743</v>
      </c>
    </row>
    <row r="46" spans="2:33" x14ac:dyDescent="0.25">
      <c r="B46" s="20">
        <v>52</v>
      </c>
      <c r="C46" s="58">
        <v>26347</v>
      </c>
      <c r="D46" s="59">
        <f>C46*(1+'Tenure Split (North Wales)'!C$109)+(C$44*(-(50-$B46)*('Tenure Split (North Wales)'!C$110/40)))</f>
        <v>27291.819873918201</v>
      </c>
      <c r="E46" s="59">
        <f>D46*(1+'Tenure Split (North Wales)'!D$109)+(D$44*(-(50-$B46)*('Tenure Split (North Wales)'!D$110/40)))</f>
        <v>28006.708104736921</v>
      </c>
      <c r="F46" s="59">
        <f>E46*(1+'Tenure Split (North Wales)'!E$109)+(E$44*(-(50-$B46)*('Tenure Split (North Wales)'!E$110/40)))</f>
        <v>28938.934365650741</v>
      </c>
      <c r="G46" s="59">
        <f>F46*(1+'Tenure Split (North Wales)'!F$109)+(F$44*(-(50-$B46)*('Tenure Split (North Wales)'!F$110/40)))</f>
        <v>30026.124869039719</v>
      </c>
      <c r="H46" s="60">
        <f>G46*(1+'Tenure Split (North Wales)'!G$109)+(G$44*(-(50-$B46)*('Tenure Split (North Wales)'!G$110/40)))</f>
        <v>31183.469302448833</v>
      </c>
      <c r="L46" s="64" t="str">
        <f t="shared" si="0"/>
        <v/>
      </c>
      <c r="M46" s="251"/>
      <c r="N46" s="37">
        <f t="shared" si="3"/>
        <v>1</v>
      </c>
      <c r="T46" s="1">
        <f t="shared" si="1"/>
        <v>52</v>
      </c>
      <c r="U46" s="4" t="str">
        <f t="shared" si="2"/>
        <v/>
      </c>
      <c r="V46" s="4" t="e">
        <f>IF($V$3=$M$3,M46,U46*(1+'Tenure Split (North Wales)'!C$109)+(U$44*(-(50-$T46)*('Tenure Split (North Wales)'!C$110/40))))</f>
        <v>#VALUE!</v>
      </c>
      <c r="W46" s="4" t="e">
        <f>V46*(1+'Tenure Split (North Wales)'!D$109)+(V$44*(-(50-$T46)*('Tenure Split (North Wales)'!D$110/40)))</f>
        <v>#VALUE!</v>
      </c>
      <c r="X46" s="4" t="e">
        <f>W46*(1+'Tenure Split (North Wales)'!E$109)+(W$44*(-(50-$T46)*('Tenure Split (North Wales)'!E$110/40)))</f>
        <v>#VALUE!</v>
      </c>
      <c r="Y46" s="4" t="e">
        <f>X46*(1+'Tenure Split (North Wales)'!F$109)+(X$44*(-(50-$T46)*('Tenure Split (North Wales)'!F$110/40)))</f>
        <v>#VALUE!</v>
      </c>
      <c r="Z46" s="4" t="e">
        <f>Y46*(1+'Tenure Split (North Wales)'!G$109)+(Y$44*(-(50-$T46)*('Tenure Split (North Wales)'!G$110/40)))</f>
        <v>#VALUE!</v>
      </c>
      <c r="AB46" s="1">
        <v>52</v>
      </c>
      <c r="AC46" s="4">
        <f>IF('Tenure Split (WALES)'!$D$8="WG Estimates",'Income (North Wales)'!D46,'Income (North Wales)'!V46)</f>
        <v>27291.819873918201</v>
      </c>
      <c r="AD46" s="4">
        <f>IF('Tenure Split (WALES)'!$D$8="WG Estimates",'Income (North Wales)'!E46,'Income (North Wales)'!W46)</f>
        <v>28006.708104736921</v>
      </c>
      <c r="AE46" s="4">
        <f>IF('Tenure Split (WALES)'!$D$8="WG Estimates",'Income (North Wales)'!F46,'Income (North Wales)'!X46)</f>
        <v>28938.934365650741</v>
      </c>
      <c r="AF46" s="4">
        <f>IF('Tenure Split (WALES)'!$D$8="WG Estimates",'Income (North Wales)'!G46,'Income (North Wales)'!Y46)</f>
        <v>30026.124869039719</v>
      </c>
      <c r="AG46" s="4">
        <f>IF('Tenure Split (WALES)'!$D$8="WG Estimates",'Income (North Wales)'!H46,'Income (North Wales)'!Z46)</f>
        <v>31183.469302448833</v>
      </c>
    </row>
    <row r="47" spans="2:33" x14ac:dyDescent="0.25">
      <c r="B47" s="20">
        <v>53</v>
      </c>
      <c r="C47" s="58">
        <v>26794</v>
      </c>
      <c r="D47" s="59">
        <f>C47*(1+'Tenure Split (North Wales)'!C$109)+(C$44*(-(50-$B47)*('Tenure Split (North Wales)'!C$110/40)))</f>
        <v>27760.999805025785</v>
      </c>
      <c r="E47" s="59">
        <f>D47*(1+'Tenure Split (North Wales)'!D$109)+(D$44*(-(50-$B47)*('Tenure Split (North Wales)'!D$110/40)))</f>
        <v>28494.542683435324</v>
      </c>
      <c r="F47" s="59">
        <f>E47*(1+'Tenure Split (North Wales)'!E$109)+(E$44*(-(50-$B47)*('Tenure Split (North Wales)'!E$110/40)))</f>
        <v>29449.532333400213</v>
      </c>
      <c r="G47" s="59">
        <f>F47*(1+'Tenure Split (North Wales)'!F$109)+(F$44*(-(50-$B47)*('Tenure Split (North Wales)'!F$110/40)))</f>
        <v>30562.641522851438</v>
      </c>
      <c r="H47" s="60">
        <f>G47*(1+'Tenure Split (North Wales)'!G$109)+(G$44*(-(50-$B47)*('Tenure Split (North Wales)'!G$110/40)))</f>
        <v>31747.648658242462</v>
      </c>
      <c r="L47" s="64" t="str">
        <f t="shared" si="0"/>
        <v/>
      </c>
      <c r="M47" s="251"/>
      <c r="N47" s="37">
        <f t="shared" si="3"/>
        <v>1</v>
      </c>
      <c r="T47" s="1">
        <f t="shared" si="1"/>
        <v>53</v>
      </c>
      <c r="U47" s="4" t="str">
        <f t="shared" si="2"/>
        <v/>
      </c>
      <c r="V47" s="4" t="e">
        <f>IF($V$3=$M$3,M47,U47*(1+'Tenure Split (North Wales)'!C$109)+(U$44*(-(50-$T47)*('Tenure Split (North Wales)'!C$110/40))))</f>
        <v>#VALUE!</v>
      </c>
      <c r="W47" s="4" t="e">
        <f>V47*(1+'Tenure Split (North Wales)'!D$109)+(V$44*(-(50-$T47)*('Tenure Split (North Wales)'!D$110/40)))</f>
        <v>#VALUE!</v>
      </c>
      <c r="X47" s="4" t="e">
        <f>W47*(1+'Tenure Split (North Wales)'!E$109)+(W$44*(-(50-$T47)*('Tenure Split (North Wales)'!E$110/40)))</f>
        <v>#VALUE!</v>
      </c>
      <c r="Y47" s="4" t="e">
        <f>X47*(1+'Tenure Split (North Wales)'!F$109)+(X$44*(-(50-$T47)*('Tenure Split (North Wales)'!F$110/40)))</f>
        <v>#VALUE!</v>
      </c>
      <c r="Z47" s="4" t="e">
        <f>Y47*(1+'Tenure Split (North Wales)'!G$109)+(Y$44*(-(50-$T47)*('Tenure Split (North Wales)'!G$110/40)))</f>
        <v>#VALUE!</v>
      </c>
      <c r="AB47" s="1">
        <v>53</v>
      </c>
      <c r="AC47" s="4">
        <f>IF('Tenure Split (WALES)'!$D$8="WG Estimates",'Income (North Wales)'!D47,'Income (North Wales)'!V47)</f>
        <v>27760.999805025785</v>
      </c>
      <c r="AD47" s="4">
        <f>IF('Tenure Split (WALES)'!$D$8="WG Estimates",'Income (North Wales)'!E47,'Income (North Wales)'!W47)</f>
        <v>28494.542683435324</v>
      </c>
      <c r="AE47" s="4">
        <f>IF('Tenure Split (WALES)'!$D$8="WG Estimates",'Income (North Wales)'!F47,'Income (North Wales)'!X47)</f>
        <v>29449.532333400213</v>
      </c>
      <c r="AF47" s="4">
        <f>IF('Tenure Split (WALES)'!$D$8="WG Estimates",'Income (North Wales)'!G47,'Income (North Wales)'!Y47)</f>
        <v>30562.641522851438</v>
      </c>
      <c r="AG47" s="4">
        <f>IF('Tenure Split (WALES)'!$D$8="WG Estimates",'Income (North Wales)'!H47,'Income (North Wales)'!Z47)</f>
        <v>31747.648658242462</v>
      </c>
    </row>
    <row r="48" spans="2:33" x14ac:dyDescent="0.25">
      <c r="B48" s="20">
        <v>54</v>
      </c>
      <c r="C48" s="58">
        <v>27162.5</v>
      </c>
      <c r="D48" s="59">
        <f>C48*(1+'Tenure Split (North Wales)'!C$109)+(C$44*(-(50-$B48)*('Tenure Split (North Wales)'!C$110/40)))</f>
        <v>28148.90261316481</v>
      </c>
      <c r="E48" s="59">
        <f>D48*(1+'Tenure Split (North Wales)'!D$109)+(D$44*(-(50-$B48)*('Tenure Split (North Wales)'!D$110/40)))</f>
        <v>28899.010407249574</v>
      </c>
      <c r="F48" s="59">
        <f>E48*(1+'Tenure Split (North Wales)'!E$109)+(E$44*(-(50-$B48)*('Tenure Split (North Wales)'!E$110/40)))</f>
        <v>29874.028762361835</v>
      </c>
      <c r="G48" s="59">
        <f>F48*(1+'Tenure Split (North Wales)'!F$109)+(F$44*(-(50-$B48)*('Tenure Split (North Wales)'!F$110/40)))</f>
        <v>31009.863488902516</v>
      </c>
      <c r="H48" s="60">
        <f>G48*(1+'Tenure Split (North Wales)'!G$109)+(G$44*(-(50-$B48)*('Tenure Split (North Wales)'!G$110/40)))</f>
        <v>32219.134571951337</v>
      </c>
      <c r="L48" s="64" t="str">
        <f t="shared" si="0"/>
        <v/>
      </c>
      <c r="M48" s="251"/>
      <c r="N48" s="37">
        <f t="shared" si="3"/>
        <v>1</v>
      </c>
      <c r="T48" s="1">
        <f t="shared" si="1"/>
        <v>54</v>
      </c>
      <c r="U48" s="4" t="str">
        <f t="shared" si="2"/>
        <v/>
      </c>
      <c r="V48" s="4" t="e">
        <f>IF($V$3=$M$3,M48,U48*(1+'Tenure Split (North Wales)'!C$109)+(U$44*(-(50-$T48)*('Tenure Split (North Wales)'!C$110/40))))</f>
        <v>#VALUE!</v>
      </c>
      <c r="W48" s="4" t="e">
        <f>V48*(1+'Tenure Split (North Wales)'!D$109)+(V$44*(-(50-$T48)*('Tenure Split (North Wales)'!D$110/40)))</f>
        <v>#VALUE!</v>
      </c>
      <c r="X48" s="4" t="e">
        <f>W48*(1+'Tenure Split (North Wales)'!E$109)+(W$44*(-(50-$T48)*('Tenure Split (North Wales)'!E$110/40)))</f>
        <v>#VALUE!</v>
      </c>
      <c r="Y48" s="4" t="e">
        <f>X48*(1+'Tenure Split (North Wales)'!F$109)+(X$44*(-(50-$T48)*('Tenure Split (North Wales)'!F$110/40)))</f>
        <v>#VALUE!</v>
      </c>
      <c r="Z48" s="4" t="e">
        <f>Y48*(1+'Tenure Split (North Wales)'!G$109)+(Y$44*(-(50-$T48)*('Tenure Split (North Wales)'!G$110/40)))</f>
        <v>#VALUE!</v>
      </c>
      <c r="AB48" s="1">
        <v>54</v>
      </c>
      <c r="AC48" s="4">
        <f>IF('Tenure Split (WALES)'!$D$8="WG Estimates",'Income (North Wales)'!D48,'Income (North Wales)'!V48)</f>
        <v>28148.90261316481</v>
      </c>
      <c r="AD48" s="4">
        <f>IF('Tenure Split (WALES)'!$D$8="WG Estimates",'Income (North Wales)'!E48,'Income (North Wales)'!W48)</f>
        <v>28899.010407249574</v>
      </c>
      <c r="AE48" s="4">
        <f>IF('Tenure Split (WALES)'!$D$8="WG Estimates",'Income (North Wales)'!F48,'Income (North Wales)'!X48)</f>
        <v>29874.028762361835</v>
      </c>
      <c r="AF48" s="4">
        <f>IF('Tenure Split (WALES)'!$D$8="WG Estimates",'Income (North Wales)'!G48,'Income (North Wales)'!Y48)</f>
        <v>31009.863488902516</v>
      </c>
      <c r="AG48" s="4">
        <f>IF('Tenure Split (WALES)'!$D$8="WG Estimates",'Income (North Wales)'!H48,'Income (North Wales)'!Z48)</f>
        <v>32219.134571951337</v>
      </c>
    </row>
    <row r="49" spans="2:33" x14ac:dyDescent="0.25">
      <c r="B49" s="20">
        <v>55</v>
      </c>
      <c r="C49" s="58">
        <v>27870.92</v>
      </c>
      <c r="D49" s="59">
        <f>C49*(1+'Tenure Split (North Wales)'!C$109)+(C$44*(-(50-$B49)*('Tenure Split (North Wales)'!C$110/40)))</f>
        <v>28888.750894418125</v>
      </c>
      <c r="E49" s="59">
        <f>D49*(1+'Tenure Split (North Wales)'!D$109)+(D$44*(-(50-$B49)*('Tenure Split (North Wales)'!D$110/40)))</f>
        <v>29664.472542684456</v>
      </c>
      <c r="F49" s="59">
        <f>E49*(1+'Tenure Split (North Wales)'!E$109)+(E$44*(-(50-$B49)*('Tenure Split (North Wales)'!E$110/40)))</f>
        <v>30671.36130679815</v>
      </c>
      <c r="G49" s="59">
        <f>F49*(1+'Tenure Split (North Wales)'!F$109)+(F$44*(-(50-$B49)*('Tenure Split (North Wales)'!F$110/40)))</f>
        <v>31843.748515636296</v>
      </c>
      <c r="H49" s="60">
        <f>G49*(1+'Tenure Split (North Wales)'!G$109)+(G$44*(-(50-$B49)*('Tenure Split (North Wales)'!G$110/40)))</f>
        <v>33092.000802009796</v>
      </c>
      <c r="L49" s="64" t="str">
        <f t="shared" si="0"/>
        <v/>
      </c>
      <c r="M49" s="251"/>
      <c r="N49" s="37">
        <f t="shared" si="3"/>
        <v>1</v>
      </c>
      <c r="T49" s="1">
        <f t="shared" si="1"/>
        <v>55</v>
      </c>
      <c r="U49" s="4" t="str">
        <f t="shared" si="2"/>
        <v/>
      </c>
      <c r="V49" s="4" t="e">
        <f>IF($V$3=$M$3,M49,U49*(1+'Tenure Split (North Wales)'!C$109)+(U$44*(-(50-$T49)*('Tenure Split (North Wales)'!C$110/40))))</f>
        <v>#VALUE!</v>
      </c>
      <c r="W49" s="4" t="e">
        <f>V49*(1+'Tenure Split (North Wales)'!D$109)+(V$44*(-(50-$T49)*('Tenure Split (North Wales)'!D$110/40)))</f>
        <v>#VALUE!</v>
      </c>
      <c r="X49" s="4" t="e">
        <f>W49*(1+'Tenure Split (North Wales)'!E$109)+(W$44*(-(50-$T49)*('Tenure Split (North Wales)'!E$110/40)))</f>
        <v>#VALUE!</v>
      </c>
      <c r="Y49" s="4" t="e">
        <f>X49*(1+'Tenure Split (North Wales)'!F$109)+(X$44*(-(50-$T49)*('Tenure Split (North Wales)'!F$110/40)))</f>
        <v>#VALUE!</v>
      </c>
      <c r="Z49" s="4" t="e">
        <f>Y49*(1+'Tenure Split (North Wales)'!G$109)+(Y$44*(-(50-$T49)*('Tenure Split (North Wales)'!G$110/40)))</f>
        <v>#VALUE!</v>
      </c>
      <c r="AB49" s="1">
        <v>55</v>
      </c>
      <c r="AC49" s="4">
        <f>IF('Tenure Split (WALES)'!$D$8="WG Estimates",'Income (North Wales)'!D49,'Income (North Wales)'!V49)</f>
        <v>28888.750894418125</v>
      </c>
      <c r="AD49" s="4">
        <f>IF('Tenure Split (WALES)'!$D$8="WG Estimates",'Income (North Wales)'!E49,'Income (North Wales)'!W49)</f>
        <v>29664.472542684456</v>
      </c>
      <c r="AE49" s="4">
        <f>IF('Tenure Split (WALES)'!$D$8="WG Estimates",'Income (North Wales)'!F49,'Income (North Wales)'!X49)</f>
        <v>30671.36130679815</v>
      </c>
      <c r="AF49" s="4">
        <f>IF('Tenure Split (WALES)'!$D$8="WG Estimates",'Income (North Wales)'!G49,'Income (North Wales)'!Y49)</f>
        <v>31843.748515636296</v>
      </c>
      <c r="AG49" s="4">
        <f>IF('Tenure Split (WALES)'!$D$8="WG Estimates",'Income (North Wales)'!H49,'Income (North Wales)'!Z49)</f>
        <v>33092.000802009796</v>
      </c>
    </row>
    <row r="50" spans="2:33" x14ac:dyDescent="0.25">
      <c r="B50" s="20">
        <v>56</v>
      </c>
      <c r="C50" s="58">
        <v>28762</v>
      </c>
      <c r="D50" s="59">
        <f>C50*(1+'Tenure Split (North Wales)'!C$109)+(C$44*(-(50-$B50)*('Tenure Split (North Wales)'!C$110/40)))</f>
        <v>29817.721204734327</v>
      </c>
      <c r="E50" s="59">
        <f>D50*(1+'Tenure Split (North Wales)'!D$109)+(D$44*(-(50-$B50)*('Tenure Split (North Wales)'!D$110/40)))</f>
        <v>30623.919260452305</v>
      </c>
      <c r="F50" s="59">
        <f>E50*(1+'Tenure Split (North Wales)'!E$109)+(E$44*(-(50-$B50)*('Tenure Split (North Wales)'!E$110/40)))</f>
        <v>31669.041712062317</v>
      </c>
      <c r="G50" s="59">
        <f>F50*(1+'Tenure Split (North Wales)'!F$109)+(F$44*(-(50-$B50)*('Tenure Split (North Wales)'!F$110/40)))</f>
        <v>32885.411474425557</v>
      </c>
      <c r="H50" s="60">
        <f>G50*(1+'Tenure Split (North Wales)'!G$109)+(G$44*(-(50-$B50)*('Tenure Split (North Wales)'!G$110/40)))</f>
        <v>34180.55345412172</v>
      </c>
      <c r="L50" s="64" t="str">
        <f t="shared" si="0"/>
        <v/>
      </c>
      <c r="M50" s="251"/>
      <c r="N50" s="37">
        <f t="shared" si="3"/>
        <v>1</v>
      </c>
      <c r="T50" s="1">
        <f t="shared" si="1"/>
        <v>56</v>
      </c>
      <c r="U50" s="4" t="str">
        <f t="shared" si="2"/>
        <v/>
      </c>
      <c r="V50" s="4" t="e">
        <f>IF($V$3=$M$3,M50,U50*(1+'Tenure Split (North Wales)'!C$109)+(U$44*(-(50-$T50)*('Tenure Split (North Wales)'!C$110/40))))</f>
        <v>#VALUE!</v>
      </c>
      <c r="W50" s="4" t="e">
        <f>V50*(1+'Tenure Split (North Wales)'!D$109)+(V$44*(-(50-$T50)*('Tenure Split (North Wales)'!D$110/40)))</f>
        <v>#VALUE!</v>
      </c>
      <c r="X50" s="4" t="e">
        <f>W50*(1+'Tenure Split (North Wales)'!E$109)+(W$44*(-(50-$T50)*('Tenure Split (North Wales)'!E$110/40)))</f>
        <v>#VALUE!</v>
      </c>
      <c r="Y50" s="4" t="e">
        <f>X50*(1+'Tenure Split (North Wales)'!F$109)+(X$44*(-(50-$T50)*('Tenure Split (North Wales)'!F$110/40)))</f>
        <v>#VALUE!</v>
      </c>
      <c r="Z50" s="4" t="e">
        <f>Y50*(1+'Tenure Split (North Wales)'!G$109)+(Y$44*(-(50-$T50)*('Tenure Split (North Wales)'!G$110/40)))</f>
        <v>#VALUE!</v>
      </c>
      <c r="AB50" s="1">
        <v>56</v>
      </c>
      <c r="AC50" s="4">
        <f>IF('Tenure Split (WALES)'!$D$8="WG Estimates",'Income (North Wales)'!D50,'Income (North Wales)'!V50)</f>
        <v>29817.721204734327</v>
      </c>
      <c r="AD50" s="4">
        <f>IF('Tenure Split (WALES)'!$D$8="WG Estimates",'Income (North Wales)'!E50,'Income (North Wales)'!W50)</f>
        <v>30623.919260452305</v>
      </c>
      <c r="AE50" s="4">
        <f>IF('Tenure Split (WALES)'!$D$8="WG Estimates",'Income (North Wales)'!F50,'Income (North Wales)'!X50)</f>
        <v>31669.041712062317</v>
      </c>
      <c r="AF50" s="4">
        <f>IF('Tenure Split (WALES)'!$D$8="WG Estimates",'Income (North Wales)'!G50,'Income (North Wales)'!Y50)</f>
        <v>32885.411474425557</v>
      </c>
      <c r="AG50" s="4">
        <f>IF('Tenure Split (WALES)'!$D$8="WG Estimates",'Income (North Wales)'!H50,'Income (North Wales)'!Z50)</f>
        <v>34180.55345412172</v>
      </c>
    </row>
    <row r="51" spans="2:33" x14ac:dyDescent="0.25">
      <c r="B51" s="20">
        <v>57</v>
      </c>
      <c r="C51" s="58">
        <v>29564</v>
      </c>
      <c r="D51" s="59">
        <f>C51*(1+'Tenure Split (North Wales)'!C$109)+(C$44*(-(50-$B51)*('Tenure Split (North Wales)'!C$110/40)))</f>
        <v>30654.460099585071</v>
      </c>
      <c r="E51" s="59">
        <f>D51*(1+'Tenure Split (North Wales)'!D$109)+(D$44*(-(50-$B51)*('Tenure Split (North Wales)'!D$110/40)))</f>
        <v>31488.763182894309</v>
      </c>
      <c r="F51" s="59">
        <f>E51*(1+'Tenure Split (North Wales)'!E$109)+(E$44*(-(50-$B51)*('Tenure Split (North Wales)'!E$110/40)))</f>
        <v>32569.016065412859</v>
      </c>
      <c r="G51" s="59">
        <f>F51*(1+'Tenure Split (North Wales)'!F$109)+(F$44*(-(50-$B51)*('Tenure Split (North Wales)'!F$110/40)))</f>
        <v>33825.74486906558</v>
      </c>
      <c r="H51" s="60">
        <f>G51*(1+'Tenure Split (North Wales)'!G$109)+(G$44*(-(50-$B51)*('Tenure Split (North Wales)'!G$110/40)))</f>
        <v>35163.919713610623</v>
      </c>
      <c r="L51" s="64" t="str">
        <f t="shared" si="0"/>
        <v/>
      </c>
      <c r="M51" s="251"/>
      <c r="N51" s="37">
        <f t="shared" si="3"/>
        <v>1</v>
      </c>
      <c r="T51" s="1">
        <f t="shared" si="1"/>
        <v>57</v>
      </c>
      <c r="U51" s="4" t="str">
        <f t="shared" si="2"/>
        <v/>
      </c>
      <c r="V51" s="4" t="e">
        <f>IF($V$3=$M$3,M51,U51*(1+'Tenure Split (North Wales)'!C$109)+(U$44*(-(50-$T51)*('Tenure Split (North Wales)'!C$110/40))))</f>
        <v>#VALUE!</v>
      </c>
      <c r="W51" s="4" t="e">
        <f>V51*(1+'Tenure Split (North Wales)'!D$109)+(V$44*(-(50-$T51)*('Tenure Split (North Wales)'!D$110/40)))</f>
        <v>#VALUE!</v>
      </c>
      <c r="X51" s="4" t="e">
        <f>W51*(1+'Tenure Split (North Wales)'!E$109)+(W$44*(-(50-$T51)*('Tenure Split (North Wales)'!E$110/40)))</f>
        <v>#VALUE!</v>
      </c>
      <c r="Y51" s="4" t="e">
        <f>X51*(1+'Tenure Split (North Wales)'!F$109)+(X$44*(-(50-$T51)*('Tenure Split (North Wales)'!F$110/40)))</f>
        <v>#VALUE!</v>
      </c>
      <c r="Z51" s="4" t="e">
        <f>Y51*(1+'Tenure Split (North Wales)'!G$109)+(Y$44*(-(50-$T51)*('Tenure Split (North Wales)'!G$110/40)))</f>
        <v>#VALUE!</v>
      </c>
      <c r="AB51" s="1">
        <v>57</v>
      </c>
      <c r="AC51" s="4">
        <f>IF('Tenure Split (WALES)'!$D$8="WG Estimates",'Income (North Wales)'!D51,'Income (North Wales)'!V51)</f>
        <v>30654.460099585071</v>
      </c>
      <c r="AD51" s="4">
        <f>IF('Tenure Split (WALES)'!$D$8="WG Estimates",'Income (North Wales)'!E51,'Income (North Wales)'!W51)</f>
        <v>31488.763182894309</v>
      </c>
      <c r="AE51" s="4">
        <f>IF('Tenure Split (WALES)'!$D$8="WG Estimates",'Income (North Wales)'!F51,'Income (North Wales)'!X51)</f>
        <v>32569.016065412859</v>
      </c>
      <c r="AF51" s="4">
        <f>IF('Tenure Split (WALES)'!$D$8="WG Estimates",'Income (North Wales)'!G51,'Income (North Wales)'!Y51)</f>
        <v>33825.74486906558</v>
      </c>
      <c r="AG51" s="4">
        <f>IF('Tenure Split (WALES)'!$D$8="WG Estimates",'Income (North Wales)'!H51,'Income (North Wales)'!Z51)</f>
        <v>35163.919713610623</v>
      </c>
    </row>
    <row r="52" spans="2:33" x14ac:dyDescent="0.25">
      <c r="B52" s="20">
        <v>58</v>
      </c>
      <c r="C52" s="58">
        <v>30239.25</v>
      </c>
      <c r="D52" s="59">
        <f>C52*(1+'Tenure Split (North Wales)'!C$109)+(C$44*(-(50-$B52)*('Tenure Split (North Wales)'!C$110/40)))</f>
        <v>31359.964913719061</v>
      </c>
      <c r="E52" s="59">
        <f>D52*(1+'Tenure Split (North Wales)'!D$109)+(D$44*(-(50-$B52)*('Tenure Split (North Wales)'!D$110/40)))</f>
        <v>32218.998839647564</v>
      </c>
      <c r="F52" s="59">
        <f>E52*(1+'Tenure Split (North Wales)'!E$109)+(E$44*(-(50-$B52)*('Tenure Split (North Wales)'!E$110/40)))</f>
        <v>33329.966596580467</v>
      </c>
      <c r="G52" s="59">
        <f>F52*(1+'Tenure Split (North Wales)'!F$109)+(F$44*(-(50-$B52)*('Tenure Split (North Wales)'!F$110/40)))</f>
        <v>34621.898624550689</v>
      </c>
      <c r="H52" s="60">
        <f>G52*(1+'Tenure Split (North Wales)'!G$109)+(G$44*(-(50-$B52)*('Tenure Split (North Wales)'!G$110/40)))</f>
        <v>35997.618536357601</v>
      </c>
      <c r="L52" s="64" t="str">
        <f t="shared" si="0"/>
        <v/>
      </c>
      <c r="M52" s="251"/>
      <c r="N52" s="37">
        <f t="shared" si="3"/>
        <v>1</v>
      </c>
      <c r="T52" s="1">
        <f t="shared" si="1"/>
        <v>58</v>
      </c>
      <c r="U52" s="4" t="str">
        <f t="shared" si="2"/>
        <v/>
      </c>
      <c r="V52" s="4" t="e">
        <f>IF($V$3=$M$3,M52,U52*(1+'Tenure Split (North Wales)'!C$109)+(U$44*(-(50-$T52)*('Tenure Split (North Wales)'!C$110/40))))</f>
        <v>#VALUE!</v>
      </c>
      <c r="W52" s="4" t="e">
        <f>V52*(1+'Tenure Split (North Wales)'!D$109)+(V$44*(-(50-$T52)*('Tenure Split (North Wales)'!D$110/40)))</f>
        <v>#VALUE!</v>
      </c>
      <c r="X52" s="4" t="e">
        <f>W52*(1+'Tenure Split (North Wales)'!E$109)+(W$44*(-(50-$T52)*('Tenure Split (North Wales)'!E$110/40)))</f>
        <v>#VALUE!</v>
      </c>
      <c r="Y52" s="4" t="e">
        <f>X52*(1+'Tenure Split (North Wales)'!F$109)+(X$44*(-(50-$T52)*('Tenure Split (North Wales)'!F$110/40)))</f>
        <v>#VALUE!</v>
      </c>
      <c r="Z52" s="4" t="e">
        <f>Y52*(1+'Tenure Split (North Wales)'!G$109)+(Y$44*(-(50-$T52)*('Tenure Split (North Wales)'!G$110/40)))</f>
        <v>#VALUE!</v>
      </c>
      <c r="AB52" s="1">
        <v>58</v>
      </c>
      <c r="AC52" s="4">
        <f>IF('Tenure Split (WALES)'!$D$8="WG Estimates",'Income (North Wales)'!D52,'Income (North Wales)'!V52)</f>
        <v>31359.964913719061</v>
      </c>
      <c r="AD52" s="4">
        <f>IF('Tenure Split (WALES)'!$D$8="WG Estimates",'Income (North Wales)'!E52,'Income (North Wales)'!W52)</f>
        <v>32218.998839647564</v>
      </c>
      <c r="AE52" s="4">
        <f>IF('Tenure Split (WALES)'!$D$8="WG Estimates",'Income (North Wales)'!F52,'Income (North Wales)'!X52)</f>
        <v>33329.966596580467</v>
      </c>
      <c r="AF52" s="4">
        <f>IF('Tenure Split (WALES)'!$D$8="WG Estimates",'Income (North Wales)'!G52,'Income (North Wales)'!Y52)</f>
        <v>34621.898624550689</v>
      </c>
      <c r="AG52" s="4">
        <f>IF('Tenure Split (WALES)'!$D$8="WG Estimates",'Income (North Wales)'!H52,'Income (North Wales)'!Z52)</f>
        <v>35997.618536357601</v>
      </c>
    </row>
    <row r="53" spans="2:33" x14ac:dyDescent="0.25">
      <c r="B53" s="20">
        <v>59</v>
      </c>
      <c r="C53" s="58">
        <v>30823</v>
      </c>
      <c r="D53" s="59">
        <f>C53*(1+'Tenure Split (North Wales)'!C$109)+(C$44*(-(50-$B53)*('Tenure Split (North Wales)'!C$110/40)))</f>
        <v>31970.732699169956</v>
      </c>
      <c r="E53" s="59">
        <f>D53*(1+'Tenure Split (North Wales)'!D$109)+(D$44*(-(50-$B53)*('Tenure Split (North Wales)'!D$110/40)))</f>
        <v>32852.061665548601</v>
      </c>
      <c r="F53" s="59">
        <f>E53*(1+'Tenure Split (North Wales)'!E$109)+(E$44*(-(50-$B53)*('Tenure Split (North Wales)'!E$110/40)))</f>
        <v>33990.556735403021</v>
      </c>
      <c r="G53" s="59">
        <f>F53*(1+'Tenure Split (North Wales)'!F$109)+(F$44*(-(50-$B53)*('Tenure Split (North Wales)'!F$110/40)))</f>
        <v>35313.97003697724</v>
      </c>
      <c r="H53" s="60">
        <f>G53*(1+'Tenure Split (North Wales)'!G$109)+(G$44*(-(50-$B53)*('Tenure Split (North Wales)'!G$110/40)))</f>
        <v>36723.273410687347</v>
      </c>
      <c r="L53" s="64" t="str">
        <f t="shared" si="0"/>
        <v/>
      </c>
      <c r="M53" s="251"/>
      <c r="N53" s="37">
        <f t="shared" si="3"/>
        <v>1</v>
      </c>
      <c r="T53" s="1">
        <f t="shared" si="1"/>
        <v>59</v>
      </c>
      <c r="U53" s="4" t="str">
        <f t="shared" si="2"/>
        <v/>
      </c>
      <c r="V53" s="4" t="e">
        <f>IF($V$3=$M$3,M53,U53*(1+'Tenure Split (North Wales)'!C$109)+(U$44*(-(50-$T53)*('Tenure Split (North Wales)'!C$110/40))))</f>
        <v>#VALUE!</v>
      </c>
      <c r="W53" s="4" t="e">
        <f>V53*(1+'Tenure Split (North Wales)'!D$109)+(V$44*(-(50-$T53)*('Tenure Split (North Wales)'!D$110/40)))</f>
        <v>#VALUE!</v>
      </c>
      <c r="X53" s="4" t="e">
        <f>W53*(1+'Tenure Split (North Wales)'!E$109)+(W$44*(-(50-$T53)*('Tenure Split (North Wales)'!E$110/40)))</f>
        <v>#VALUE!</v>
      </c>
      <c r="Y53" s="4" t="e">
        <f>X53*(1+'Tenure Split (North Wales)'!F$109)+(X$44*(-(50-$T53)*('Tenure Split (North Wales)'!F$110/40)))</f>
        <v>#VALUE!</v>
      </c>
      <c r="Z53" s="4" t="e">
        <f>Y53*(1+'Tenure Split (North Wales)'!G$109)+(Y$44*(-(50-$T53)*('Tenure Split (North Wales)'!G$110/40)))</f>
        <v>#VALUE!</v>
      </c>
      <c r="AB53" s="1">
        <v>59</v>
      </c>
      <c r="AC53" s="4">
        <f>IF('Tenure Split (WALES)'!$D$8="WG Estimates",'Income (North Wales)'!D53,'Income (North Wales)'!V53)</f>
        <v>31970.732699169956</v>
      </c>
      <c r="AD53" s="4">
        <f>IF('Tenure Split (WALES)'!$D$8="WG Estimates",'Income (North Wales)'!E53,'Income (North Wales)'!W53)</f>
        <v>32852.061665548601</v>
      </c>
      <c r="AE53" s="4">
        <f>IF('Tenure Split (WALES)'!$D$8="WG Estimates",'Income (North Wales)'!F53,'Income (North Wales)'!X53)</f>
        <v>33990.556735403021</v>
      </c>
      <c r="AF53" s="4">
        <f>IF('Tenure Split (WALES)'!$D$8="WG Estimates",'Income (North Wales)'!G53,'Income (North Wales)'!Y53)</f>
        <v>35313.97003697724</v>
      </c>
      <c r="AG53" s="4">
        <f>IF('Tenure Split (WALES)'!$D$8="WG Estimates",'Income (North Wales)'!H53,'Income (North Wales)'!Z53)</f>
        <v>36723.273410687347</v>
      </c>
    </row>
    <row r="54" spans="2:33" x14ac:dyDescent="0.25">
      <c r="B54" s="20">
        <v>60</v>
      </c>
      <c r="C54" s="58">
        <v>31335.35</v>
      </c>
      <c r="D54" s="59">
        <f>C54*(1+'Tenure Split (North Wales)'!C$109)+(C$44*(-(50-$B54)*('Tenure Split (North Wales)'!C$110/40)))</f>
        <v>32507.574540927155</v>
      </c>
      <c r="E54" s="59">
        <f>D54*(1+'Tenure Split (North Wales)'!D$109)+(D$44*(-(50-$B54)*('Tenure Split (North Wales)'!D$110/40)))</f>
        <v>33409.297823440364</v>
      </c>
      <c r="F54" s="59">
        <f>E54*(1+'Tenure Split (North Wales)'!E$109)+(E$44*(-(50-$B54)*('Tenure Split (North Wales)'!E$110/40)))</f>
        <v>34572.832863149757</v>
      </c>
      <c r="G54" s="59">
        <f>F54*(1+'Tenure Split (North Wales)'!F$109)+(F$44*(-(50-$B54)*('Tenure Split (North Wales)'!F$110/40)))</f>
        <v>35924.823096459739</v>
      </c>
      <c r="H54" s="60">
        <f>G54*(1+'Tenure Split (North Wales)'!G$109)+(G$44*(-(50-$B54)*('Tenure Split (North Wales)'!G$110/40)))</f>
        <v>37364.618581006282</v>
      </c>
      <c r="L54" s="64" t="str">
        <f t="shared" si="0"/>
        <v/>
      </c>
      <c r="M54" s="251"/>
      <c r="N54" s="37">
        <f t="shared" si="3"/>
        <v>1</v>
      </c>
      <c r="T54" s="1">
        <f t="shared" si="1"/>
        <v>60</v>
      </c>
      <c r="U54" s="4" t="str">
        <f t="shared" si="2"/>
        <v/>
      </c>
      <c r="V54" s="4" t="e">
        <f>IF($V$3=$M$3,M54,U54*(1+'Tenure Split (North Wales)'!C$109)+(U$44*(-(50-$T54)*('Tenure Split (North Wales)'!C$110/40))))</f>
        <v>#VALUE!</v>
      </c>
      <c r="W54" s="4" t="e">
        <f>V54*(1+'Tenure Split (North Wales)'!D$109)+(V$44*(-(50-$T54)*('Tenure Split (North Wales)'!D$110/40)))</f>
        <v>#VALUE!</v>
      </c>
      <c r="X54" s="4" t="e">
        <f>W54*(1+'Tenure Split (North Wales)'!E$109)+(W$44*(-(50-$T54)*('Tenure Split (North Wales)'!E$110/40)))</f>
        <v>#VALUE!</v>
      </c>
      <c r="Y54" s="4" t="e">
        <f>X54*(1+'Tenure Split (North Wales)'!F$109)+(X$44*(-(50-$T54)*('Tenure Split (North Wales)'!F$110/40)))</f>
        <v>#VALUE!</v>
      </c>
      <c r="Z54" s="4" t="e">
        <f>Y54*(1+'Tenure Split (North Wales)'!G$109)+(Y$44*(-(50-$T54)*('Tenure Split (North Wales)'!G$110/40)))</f>
        <v>#VALUE!</v>
      </c>
      <c r="AB54" s="1">
        <v>60</v>
      </c>
      <c r="AC54" s="4">
        <f>IF('Tenure Split (WALES)'!$D$8="WG Estimates",'Income (North Wales)'!D54,'Income (North Wales)'!V54)</f>
        <v>32507.574540927155</v>
      </c>
      <c r="AD54" s="4">
        <f>IF('Tenure Split (WALES)'!$D$8="WG Estimates",'Income (North Wales)'!E54,'Income (North Wales)'!W54)</f>
        <v>33409.297823440364</v>
      </c>
      <c r="AE54" s="4">
        <f>IF('Tenure Split (WALES)'!$D$8="WG Estimates",'Income (North Wales)'!F54,'Income (North Wales)'!X54)</f>
        <v>34572.832863149757</v>
      </c>
      <c r="AF54" s="4">
        <f>IF('Tenure Split (WALES)'!$D$8="WG Estimates",'Income (North Wales)'!G54,'Income (North Wales)'!Y54)</f>
        <v>35924.823096459739</v>
      </c>
      <c r="AG54" s="4">
        <f>IF('Tenure Split (WALES)'!$D$8="WG Estimates",'Income (North Wales)'!H54,'Income (North Wales)'!Z54)</f>
        <v>37364.618581006282</v>
      </c>
    </row>
    <row r="55" spans="2:33" x14ac:dyDescent="0.25">
      <c r="B55" s="20">
        <v>61</v>
      </c>
      <c r="C55" s="58">
        <v>31771</v>
      </c>
      <c r="D55" s="59">
        <f>C55*(1+'Tenure Split (North Wales)'!C$109)+(C$44*(-(50-$B55)*('Tenure Split (North Wales)'!C$110/40)))</f>
        <v>32965.002938968581</v>
      </c>
      <c r="E55" s="59">
        <f>D55*(1+'Tenure Split (North Wales)'!D$109)+(D$44*(-(50-$B55)*('Tenure Split (North Wales)'!D$110/40)))</f>
        <v>33885.078723120481</v>
      </c>
      <c r="F55" s="59">
        <f>E55*(1+'Tenure Split (North Wales)'!E$109)+(E$44*(-(50-$B55)*('Tenure Split (North Wales)'!E$110/40)))</f>
        <v>35070.981754908877</v>
      </c>
      <c r="G55" s="59">
        <f>F55*(1+'Tenure Split (North Wales)'!F$109)+(F$44*(-(50-$B55)*('Tenure Split (North Wales)'!F$110/40)))</f>
        <v>36448.428989684398</v>
      </c>
      <c r="H55" s="60">
        <f>G55*(1+'Tenure Split (North Wales)'!G$109)+(G$44*(-(50-$B55)*('Tenure Split (North Wales)'!G$110/40)))</f>
        <v>37915.395763963439</v>
      </c>
      <c r="L55" s="64" t="str">
        <f t="shared" si="0"/>
        <v/>
      </c>
      <c r="M55" s="251"/>
      <c r="N55" s="37">
        <f t="shared" si="3"/>
        <v>1</v>
      </c>
      <c r="T55" s="1">
        <f t="shared" si="1"/>
        <v>61</v>
      </c>
      <c r="U55" s="4" t="str">
        <f t="shared" si="2"/>
        <v/>
      </c>
      <c r="V55" s="4" t="e">
        <f>IF($V$3=$M$3,M55,U55*(1+'Tenure Split (North Wales)'!C$109)+(U$44*(-(50-$T55)*('Tenure Split (North Wales)'!C$110/40))))</f>
        <v>#VALUE!</v>
      </c>
      <c r="W55" s="4" t="e">
        <f>V55*(1+'Tenure Split (North Wales)'!D$109)+(V$44*(-(50-$T55)*('Tenure Split (North Wales)'!D$110/40)))</f>
        <v>#VALUE!</v>
      </c>
      <c r="X55" s="4" t="e">
        <f>W55*(1+'Tenure Split (North Wales)'!E$109)+(W$44*(-(50-$T55)*('Tenure Split (North Wales)'!E$110/40)))</f>
        <v>#VALUE!</v>
      </c>
      <c r="Y55" s="4" t="e">
        <f>X55*(1+'Tenure Split (North Wales)'!F$109)+(X$44*(-(50-$T55)*('Tenure Split (North Wales)'!F$110/40)))</f>
        <v>#VALUE!</v>
      </c>
      <c r="Z55" s="4" t="e">
        <f>Y55*(1+'Tenure Split (North Wales)'!G$109)+(Y$44*(-(50-$T55)*('Tenure Split (North Wales)'!G$110/40)))</f>
        <v>#VALUE!</v>
      </c>
      <c r="AB55" s="1">
        <v>61</v>
      </c>
      <c r="AC55" s="4">
        <f>IF('Tenure Split (WALES)'!$D$8="WG Estimates",'Income (North Wales)'!D55,'Income (North Wales)'!V55)</f>
        <v>32965.002938968581</v>
      </c>
      <c r="AD55" s="4">
        <f>IF('Tenure Split (WALES)'!$D$8="WG Estimates",'Income (North Wales)'!E55,'Income (North Wales)'!W55)</f>
        <v>33885.078723120481</v>
      </c>
      <c r="AE55" s="4">
        <f>IF('Tenure Split (WALES)'!$D$8="WG Estimates",'Income (North Wales)'!F55,'Income (North Wales)'!X55)</f>
        <v>35070.981754908877</v>
      </c>
      <c r="AF55" s="4">
        <f>IF('Tenure Split (WALES)'!$D$8="WG Estimates",'Income (North Wales)'!G55,'Income (North Wales)'!Y55)</f>
        <v>36448.428989684398</v>
      </c>
      <c r="AG55" s="4">
        <f>IF('Tenure Split (WALES)'!$D$8="WG Estimates",'Income (North Wales)'!H55,'Income (North Wales)'!Z55)</f>
        <v>37915.395763963439</v>
      </c>
    </row>
    <row r="56" spans="2:33" x14ac:dyDescent="0.25">
      <c r="B56" s="20">
        <v>62</v>
      </c>
      <c r="C56" s="58">
        <v>32514.2</v>
      </c>
      <c r="D56" s="59">
        <f>C56*(1+'Tenure Split (North Wales)'!C$109)+(C$44*(-(50-$B56)*('Tenure Split (North Wales)'!C$110/40)))</f>
        <v>33740.8616448951</v>
      </c>
      <c r="E56" s="59">
        <f>D56*(1+'Tenure Split (North Wales)'!D$109)+(D$44*(-(50-$B56)*('Tenure Split (North Wales)'!D$110/40)))</f>
        <v>34687.477154260712</v>
      </c>
      <c r="F56" s="59">
        <f>E56*(1+'Tenure Split (North Wales)'!E$109)+(E$44*(-(50-$B56)*('Tenure Split (North Wales)'!E$110/40)))</f>
        <v>35906.462216785192</v>
      </c>
      <c r="G56" s="59">
        <f>F56*(1+'Tenure Split (North Wales)'!F$109)+(F$44*(-(50-$B56)*('Tenure Split (North Wales)'!F$110/40)))</f>
        <v>37321.876681899877</v>
      </c>
      <c r="H56" s="60">
        <f>G56*(1+'Tenure Split (North Wales)'!G$109)+(G$44*(-(50-$B56)*('Tenure Split (North Wales)'!G$110/40)))</f>
        <v>38829.330502502227</v>
      </c>
      <c r="L56" s="64" t="str">
        <f t="shared" si="0"/>
        <v/>
      </c>
      <c r="M56" s="251"/>
      <c r="N56" s="37">
        <f t="shared" si="3"/>
        <v>1</v>
      </c>
      <c r="T56" s="1">
        <f t="shared" si="1"/>
        <v>62</v>
      </c>
      <c r="U56" s="4" t="str">
        <f t="shared" si="2"/>
        <v/>
      </c>
      <c r="V56" s="4" t="e">
        <f>IF($V$3=$M$3,M56,U56*(1+'Tenure Split (North Wales)'!C$109)+(U$44*(-(50-$T56)*('Tenure Split (North Wales)'!C$110/40))))</f>
        <v>#VALUE!</v>
      </c>
      <c r="W56" s="4" t="e">
        <f>V56*(1+'Tenure Split (North Wales)'!D$109)+(V$44*(-(50-$T56)*('Tenure Split (North Wales)'!D$110/40)))</f>
        <v>#VALUE!</v>
      </c>
      <c r="X56" s="4" t="e">
        <f>W56*(1+'Tenure Split (North Wales)'!E$109)+(W$44*(-(50-$T56)*('Tenure Split (North Wales)'!E$110/40)))</f>
        <v>#VALUE!</v>
      </c>
      <c r="Y56" s="4" t="e">
        <f>X56*(1+'Tenure Split (North Wales)'!F$109)+(X$44*(-(50-$T56)*('Tenure Split (North Wales)'!F$110/40)))</f>
        <v>#VALUE!</v>
      </c>
      <c r="Z56" s="4" t="e">
        <f>Y56*(1+'Tenure Split (North Wales)'!G$109)+(Y$44*(-(50-$T56)*('Tenure Split (North Wales)'!G$110/40)))</f>
        <v>#VALUE!</v>
      </c>
      <c r="AB56" s="1">
        <v>62</v>
      </c>
      <c r="AC56" s="4">
        <f>IF('Tenure Split (WALES)'!$D$8="WG Estimates",'Income (North Wales)'!D56,'Income (North Wales)'!V56)</f>
        <v>33740.8616448951</v>
      </c>
      <c r="AD56" s="4">
        <f>IF('Tenure Split (WALES)'!$D$8="WG Estimates",'Income (North Wales)'!E56,'Income (North Wales)'!W56)</f>
        <v>34687.477154260712</v>
      </c>
      <c r="AE56" s="4">
        <f>IF('Tenure Split (WALES)'!$D$8="WG Estimates",'Income (North Wales)'!F56,'Income (North Wales)'!X56)</f>
        <v>35906.462216785192</v>
      </c>
      <c r="AF56" s="4">
        <f>IF('Tenure Split (WALES)'!$D$8="WG Estimates",'Income (North Wales)'!G56,'Income (North Wales)'!Y56)</f>
        <v>37321.876681899877</v>
      </c>
      <c r="AG56" s="4">
        <f>IF('Tenure Split (WALES)'!$D$8="WG Estimates",'Income (North Wales)'!H56,'Income (North Wales)'!Z56)</f>
        <v>38829.330502502227</v>
      </c>
    </row>
    <row r="57" spans="2:33" x14ac:dyDescent="0.25">
      <c r="B57" s="20">
        <v>63</v>
      </c>
      <c r="C57" s="58">
        <v>33343.699999999997</v>
      </c>
      <c r="D57" s="59">
        <f>C57*(1+'Tenure Split (North Wales)'!C$109)+(C$44*(-(50-$B57)*('Tenure Split (North Wales)'!C$110/40)))</f>
        <v>34606.073417218904</v>
      </c>
      <c r="E57" s="59">
        <f>D57*(1+'Tenure Split (North Wales)'!D$109)+(D$44*(-(50-$B57)*('Tenure Split (North Wales)'!D$110/40)))</f>
        <v>35581.526025865947</v>
      </c>
      <c r="F57" s="59">
        <f>E57*(1+'Tenure Split (North Wales)'!E$109)+(E$44*(-(50-$B57)*('Tenure Split (North Wales)'!E$110/40)))</f>
        <v>36836.599529583698</v>
      </c>
      <c r="G57" s="59">
        <f>F57*(1+'Tenure Split (North Wales)'!F$109)+(F$44*(-(50-$B57)*('Tenure Split (North Wales)'!F$110/40)))</f>
        <v>38293.491655054764</v>
      </c>
      <c r="H57" s="60">
        <f>G57*(1+'Tenure Split (North Wales)'!G$109)+(G$44*(-(50-$B57)*('Tenure Split (North Wales)'!G$110/40)))</f>
        <v>39845.168986925273</v>
      </c>
      <c r="L57" s="64" t="str">
        <f t="shared" si="0"/>
        <v/>
      </c>
      <c r="M57" s="251"/>
      <c r="N57" s="37">
        <f t="shared" si="3"/>
        <v>1</v>
      </c>
      <c r="T57" s="1">
        <f t="shared" si="1"/>
        <v>63</v>
      </c>
      <c r="U57" s="4" t="str">
        <f t="shared" si="2"/>
        <v/>
      </c>
      <c r="V57" s="4" t="e">
        <f>IF($V$3=$M$3,M57,U57*(1+'Tenure Split (North Wales)'!C$109)+(U$44*(-(50-$T57)*('Tenure Split (North Wales)'!C$110/40))))</f>
        <v>#VALUE!</v>
      </c>
      <c r="W57" s="4" t="e">
        <f>V57*(1+'Tenure Split (North Wales)'!D$109)+(V$44*(-(50-$T57)*('Tenure Split (North Wales)'!D$110/40)))</f>
        <v>#VALUE!</v>
      </c>
      <c r="X57" s="4" t="e">
        <f>W57*(1+'Tenure Split (North Wales)'!E$109)+(W$44*(-(50-$T57)*('Tenure Split (North Wales)'!E$110/40)))</f>
        <v>#VALUE!</v>
      </c>
      <c r="Y57" s="4" t="e">
        <f>X57*(1+'Tenure Split (North Wales)'!F$109)+(X$44*(-(50-$T57)*('Tenure Split (North Wales)'!F$110/40)))</f>
        <v>#VALUE!</v>
      </c>
      <c r="Z57" s="4" t="e">
        <f>Y57*(1+'Tenure Split (North Wales)'!G$109)+(Y$44*(-(50-$T57)*('Tenure Split (North Wales)'!G$110/40)))</f>
        <v>#VALUE!</v>
      </c>
      <c r="AB57" s="1">
        <v>63</v>
      </c>
      <c r="AC57" s="4">
        <f>IF('Tenure Split (WALES)'!$D$8="WG Estimates",'Income (North Wales)'!D57,'Income (North Wales)'!V57)</f>
        <v>34606.073417218904</v>
      </c>
      <c r="AD57" s="4">
        <f>IF('Tenure Split (WALES)'!$D$8="WG Estimates",'Income (North Wales)'!E57,'Income (North Wales)'!W57)</f>
        <v>35581.526025865947</v>
      </c>
      <c r="AE57" s="4">
        <f>IF('Tenure Split (WALES)'!$D$8="WG Estimates",'Income (North Wales)'!F57,'Income (North Wales)'!X57)</f>
        <v>36836.599529583698</v>
      </c>
      <c r="AF57" s="4">
        <f>IF('Tenure Split (WALES)'!$D$8="WG Estimates",'Income (North Wales)'!G57,'Income (North Wales)'!Y57)</f>
        <v>38293.491655054764</v>
      </c>
      <c r="AG57" s="4">
        <f>IF('Tenure Split (WALES)'!$D$8="WG Estimates",'Income (North Wales)'!H57,'Income (North Wales)'!Z57)</f>
        <v>39845.168986925273</v>
      </c>
    </row>
    <row r="58" spans="2:33" x14ac:dyDescent="0.25">
      <c r="B58" s="20">
        <v>64</v>
      </c>
      <c r="C58" s="58">
        <v>34206.199999999997</v>
      </c>
      <c r="D58" s="59">
        <f>C58*(1+'Tenure Split (North Wales)'!C$109)+(C$44*(-(50-$B58)*('Tenure Split (North Wales)'!C$110/40)))</f>
        <v>35505.452642510376</v>
      </c>
      <c r="E58" s="59">
        <f>D58*(1+'Tenure Split (North Wales)'!D$109)+(D$44*(-(50-$B58)*('Tenure Split (North Wales)'!D$110/40)))</f>
        <v>36510.620836467067</v>
      </c>
      <c r="F58" s="59">
        <f>E58*(1+'Tenure Split (North Wales)'!E$109)+(E$44*(-(50-$B58)*('Tenure Split (North Wales)'!E$110/40)))</f>
        <v>37802.93239371977</v>
      </c>
      <c r="G58" s="59">
        <f>F58*(1+'Tenure Split (North Wales)'!F$109)+(F$44*(-(50-$B58)*('Tenure Split (North Wales)'!F$110/40)))</f>
        <v>39302.644522427501</v>
      </c>
      <c r="H58" s="60">
        <f>G58*(1+'Tenure Split (North Wales)'!G$109)+(G$44*(-(50-$B58)*('Tenure Split (North Wales)'!G$110/40)))</f>
        <v>40899.974141269289</v>
      </c>
      <c r="L58" s="64" t="str">
        <f t="shared" si="0"/>
        <v/>
      </c>
      <c r="M58" s="251"/>
      <c r="N58" s="37">
        <f t="shared" si="3"/>
        <v>1</v>
      </c>
      <c r="T58" s="1">
        <f t="shared" si="1"/>
        <v>64</v>
      </c>
      <c r="U58" s="4" t="str">
        <f t="shared" si="2"/>
        <v/>
      </c>
      <c r="V58" s="4" t="e">
        <f>IF($V$3=$M$3,M58,U58*(1+'Tenure Split (North Wales)'!C$109)+(U$44*(-(50-$T58)*('Tenure Split (North Wales)'!C$110/40))))</f>
        <v>#VALUE!</v>
      </c>
      <c r="W58" s="4" t="e">
        <f>V58*(1+'Tenure Split (North Wales)'!D$109)+(V$44*(-(50-$T58)*('Tenure Split (North Wales)'!D$110/40)))</f>
        <v>#VALUE!</v>
      </c>
      <c r="X58" s="4" t="e">
        <f>W58*(1+'Tenure Split (North Wales)'!E$109)+(W$44*(-(50-$T58)*('Tenure Split (North Wales)'!E$110/40)))</f>
        <v>#VALUE!</v>
      </c>
      <c r="Y58" s="4" t="e">
        <f>X58*(1+'Tenure Split (North Wales)'!F$109)+(X$44*(-(50-$T58)*('Tenure Split (North Wales)'!F$110/40)))</f>
        <v>#VALUE!</v>
      </c>
      <c r="Z58" s="4" t="e">
        <f>Y58*(1+'Tenure Split (North Wales)'!G$109)+(Y$44*(-(50-$T58)*('Tenure Split (North Wales)'!G$110/40)))</f>
        <v>#VALUE!</v>
      </c>
      <c r="AB58" s="1">
        <v>64</v>
      </c>
      <c r="AC58" s="4">
        <f>IF('Tenure Split (WALES)'!$D$8="WG Estimates",'Income (North Wales)'!D58,'Income (North Wales)'!V58)</f>
        <v>35505.452642510376</v>
      </c>
      <c r="AD58" s="4">
        <f>IF('Tenure Split (WALES)'!$D$8="WG Estimates",'Income (North Wales)'!E58,'Income (North Wales)'!W58)</f>
        <v>36510.620836467067</v>
      </c>
      <c r="AE58" s="4">
        <f>IF('Tenure Split (WALES)'!$D$8="WG Estimates",'Income (North Wales)'!F58,'Income (North Wales)'!X58)</f>
        <v>37802.93239371977</v>
      </c>
      <c r="AF58" s="4">
        <f>IF('Tenure Split (WALES)'!$D$8="WG Estimates",'Income (North Wales)'!G58,'Income (North Wales)'!Y58)</f>
        <v>39302.644522427501</v>
      </c>
      <c r="AG58" s="4">
        <f>IF('Tenure Split (WALES)'!$D$8="WG Estimates",'Income (North Wales)'!H58,'Income (North Wales)'!Z58)</f>
        <v>40899.974141269289</v>
      </c>
    </row>
    <row r="59" spans="2:33" x14ac:dyDescent="0.25">
      <c r="B59" s="20">
        <v>65</v>
      </c>
      <c r="C59" s="58">
        <v>34842</v>
      </c>
      <c r="D59" s="59">
        <f>C59*(1+'Tenure Split (North Wales)'!C$109)+(C$44*(-(50-$B59)*('Tenure Split (North Wales)'!C$110/40)))</f>
        <v>36170.111819687561</v>
      </c>
      <c r="E59" s="59">
        <f>D59*(1+'Tenure Split (North Wales)'!D$109)+(D$44*(-(50-$B59)*('Tenure Split (North Wales)'!D$110/40)))</f>
        <v>37198.960666147977</v>
      </c>
      <c r="F59" s="59">
        <f>E59*(1+'Tenure Split (North Wales)'!E$109)+(E$44*(-(50-$B59)*('Tenure Split (North Wales)'!E$110/40)))</f>
        <v>38520.612788515667</v>
      </c>
      <c r="G59" s="59">
        <f>F59*(1+'Tenure Split (North Wales)'!F$109)+(F$44*(-(50-$B59)*('Tenure Split (North Wales)'!F$110/40)))</f>
        <v>40053.92343164311</v>
      </c>
      <c r="H59" s="60">
        <f>G59*(1+'Tenure Split (North Wales)'!G$109)+(G$44*(-(50-$B59)*('Tenure Split (North Wales)'!G$110/40)))</f>
        <v>41687.090081338021</v>
      </c>
      <c r="L59" s="64" t="str">
        <f t="shared" si="0"/>
        <v/>
      </c>
      <c r="M59" s="251"/>
      <c r="N59" s="37">
        <f t="shared" si="3"/>
        <v>1</v>
      </c>
      <c r="T59" s="1">
        <f t="shared" si="1"/>
        <v>65</v>
      </c>
      <c r="U59" s="4" t="str">
        <f t="shared" si="2"/>
        <v/>
      </c>
      <c r="V59" s="4" t="e">
        <f>IF($V$3=$M$3,M59,U59*(1+'Tenure Split (North Wales)'!C$109)+(U$44*(-(50-$T59)*('Tenure Split (North Wales)'!C$110/40))))</f>
        <v>#VALUE!</v>
      </c>
      <c r="W59" s="4" t="e">
        <f>V59*(1+'Tenure Split (North Wales)'!D$109)+(V$44*(-(50-$T59)*('Tenure Split (North Wales)'!D$110/40)))</f>
        <v>#VALUE!</v>
      </c>
      <c r="X59" s="4" t="e">
        <f>W59*(1+'Tenure Split (North Wales)'!E$109)+(W$44*(-(50-$T59)*('Tenure Split (North Wales)'!E$110/40)))</f>
        <v>#VALUE!</v>
      </c>
      <c r="Y59" s="4" t="e">
        <f>X59*(1+'Tenure Split (North Wales)'!F$109)+(X$44*(-(50-$T59)*('Tenure Split (North Wales)'!F$110/40)))</f>
        <v>#VALUE!</v>
      </c>
      <c r="Z59" s="4" t="e">
        <f>Y59*(1+'Tenure Split (North Wales)'!G$109)+(Y$44*(-(50-$T59)*('Tenure Split (North Wales)'!G$110/40)))</f>
        <v>#VALUE!</v>
      </c>
      <c r="AB59" s="1">
        <v>65</v>
      </c>
      <c r="AC59" s="4">
        <f>IF('Tenure Split (WALES)'!$D$8="WG Estimates",'Income (North Wales)'!D59,'Income (North Wales)'!V59)</f>
        <v>36170.111819687561</v>
      </c>
      <c r="AD59" s="4">
        <f>IF('Tenure Split (WALES)'!$D$8="WG Estimates",'Income (North Wales)'!E59,'Income (North Wales)'!W59)</f>
        <v>37198.960666147977</v>
      </c>
      <c r="AE59" s="4">
        <f>IF('Tenure Split (WALES)'!$D$8="WG Estimates",'Income (North Wales)'!F59,'Income (North Wales)'!X59)</f>
        <v>38520.612788515667</v>
      </c>
      <c r="AF59" s="4">
        <f>IF('Tenure Split (WALES)'!$D$8="WG Estimates",'Income (North Wales)'!G59,'Income (North Wales)'!Y59)</f>
        <v>40053.92343164311</v>
      </c>
      <c r="AG59" s="4">
        <f>IF('Tenure Split (WALES)'!$D$8="WG Estimates",'Income (North Wales)'!H59,'Income (North Wales)'!Z59)</f>
        <v>41687.090081338021</v>
      </c>
    </row>
    <row r="60" spans="2:33" x14ac:dyDescent="0.25">
      <c r="B60" s="20">
        <v>66</v>
      </c>
      <c r="C60" s="58">
        <v>35409.379999999997</v>
      </c>
      <c r="D60" s="59">
        <f>C60*(1+'Tenure Split (North Wales)'!C$109)+(C$44*(-(50-$B60)*('Tenure Split (North Wales)'!C$110/40)))</f>
        <v>36763.930477711758</v>
      </c>
      <c r="E60" s="59">
        <f>D60*(1+'Tenure Split (North Wales)'!D$109)+(D$44*(-(50-$B60)*('Tenure Split (North Wales)'!D$110/40)))</f>
        <v>37814.638582310748</v>
      </c>
      <c r="F60" s="59">
        <f>E60*(1+'Tenure Split (North Wales)'!E$109)+(E$44*(-(50-$B60)*('Tenure Split (North Wales)'!E$110/40)))</f>
        <v>39163.247740204999</v>
      </c>
      <c r="G60" s="59">
        <f>F60*(1+'Tenure Split (North Wales)'!F$109)+(F$44*(-(50-$B60)*('Tenure Split (North Wales)'!F$110/40)))</f>
        <v>40727.373773513711</v>
      </c>
      <c r="H60" s="60">
        <f>G60*(1+'Tenure Split (North Wales)'!G$109)+(G$44*(-(50-$B60)*('Tenure Split (North Wales)'!G$110/40)))</f>
        <v>42393.415125770603</v>
      </c>
      <c r="L60" s="64" t="str">
        <f t="shared" si="0"/>
        <v/>
      </c>
      <c r="M60" s="251"/>
      <c r="N60" s="37">
        <f t="shared" si="3"/>
        <v>1</v>
      </c>
      <c r="T60" s="1">
        <f t="shared" si="1"/>
        <v>66</v>
      </c>
      <c r="U60" s="4" t="str">
        <f t="shared" si="2"/>
        <v/>
      </c>
      <c r="V60" s="4" t="e">
        <f>IF($V$3=$M$3,M60,U60*(1+'Tenure Split (North Wales)'!C$109)+(U$44*(-(50-$T60)*('Tenure Split (North Wales)'!C$110/40))))</f>
        <v>#VALUE!</v>
      </c>
      <c r="W60" s="4" t="e">
        <f>V60*(1+'Tenure Split (North Wales)'!D$109)+(V$44*(-(50-$T60)*('Tenure Split (North Wales)'!D$110/40)))</f>
        <v>#VALUE!</v>
      </c>
      <c r="X60" s="4" t="e">
        <f>W60*(1+'Tenure Split (North Wales)'!E$109)+(W$44*(-(50-$T60)*('Tenure Split (North Wales)'!E$110/40)))</f>
        <v>#VALUE!</v>
      </c>
      <c r="Y60" s="4" t="e">
        <f>X60*(1+'Tenure Split (North Wales)'!F$109)+(X$44*(-(50-$T60)*('Tenure Split (North Wales)'!F$110/40)))</f>
        <v>#VALUE!</v>
      </c>
      <c r="Z60" s="4" t="e">
        <f>Y60*(1+'Tenure Split (North Wales)'!G$109)+(Y$44*(-(50-$T60)*('Tenure Split (North Wales)'!G$110/40)))</f>
        <v>#VALUE!</v>
      </c>
      <c r="AB60" s="1">
        <v>66</v>
      </c>
      <c r="AC60" s="4">
        <f>IF('Tenure Split (WALES)'!$D$8="WG Estimates",'Income (North Wales)'!D60,'Income (North Wales)'!V60)</f>
        <v>36763.930477711758</v>
      </c>
      <c r="AD60" s="4">
        <f>IF('Tenure Split (WALES)'!$D$8="WG Estimates",'Income (North Wales)'!E60,'Income (North Wales)'!W60)</f>
        <v>37814.638582310748</v>
      </c>
      <c r="AE60" s="4">
        <f>IF('Tenure Split (WALES)'!$D$8="WG Estimates",'Income (North Wales)'!F60,'Income (North Wales)'!X60)</f>
        <v>39163.247740204999</v>
      </c>
      <c r="AF60" s="4">
        <f>IF('Tenure Split (WALES)'!$D$8="WG Estimates",'Income (North Wales)'!G60,'Income (North Wales)'!Y60)</f>
        <v>40727.373773513711</v>
      </c>
      <c r="AG60" s="4">
        <f>IF('Tenure Split (WALES)'!$D$8="WG Estimates",'Income (North Wales)'!H60,'Income (North Wales)'!Z60)</f>
        <v>42393.415125770603</v>
      </c>
    </row>
    <row r="61" spans="2:33" x14ac:dyDescent="0.25">
      <c r="B61" s="20">
        <v>67</v>
      </c>
      <c r="C61" s="58">
        <v>36162.5</v>
      </c>
      <c r="D61" s="59">
        <f>C61*(1+'Tenure Split (North Wales)'!C$109)+(C$44*(-(50-$B61)*('Tenure Split (North Wales)'!C$110/40)))</f>
        <v>37550.060127075834</v>
      </c>
      <c r="E61" s="59">
        <f>D61*(1+'Tenure Split (North Wales)'!D$109)+(D$44*(-(50-$B61)*('Tenure Split (North Wales)'!D$110/40)))</f>
        <v>38627.572035112782</v>
      </c>
      <c r="F61" s="59">
        <f>E61*(1+'Tenure Split (North Wales)'!E$109)+(E$44*(-(50-$B61)*('Tenure Split (North Wales)'!E$110/40)))</f>
        <v>40009.608804180374</v>
      </c>
      <c r="G61" s="59">
        <f>F61*(1+'Tenure Split (North Wales)'!F$109)+(F$44*(-(50-$B61)*('Tenure Split (North Wales)'!F$110/40)))</f>
        <v>41612.105584233475</v>
      </c>
      <c r="H61" s="60">
        <f>G61*(1+'Tenure Split (North Wales)'!G$109)+(G$44*(-(50-$B61)*('Tenure Split (North Wales)'!G$110/40)))</f>
        <v>43319.063481449288</v>
      </c>
      <c r="L61" s="64" t="str">
        <f t="shared" si="0"/>
        <v/>
      </c>
      <c r="M61" s="251"/>
      <c r="N61" s="37">
        <f t="shared" si="3"/>
        <v>1</v>
      </c>
      <c r="T61" s="1">
        <f t="shared" si="1"/>
        <v>67</v>
      </c>
      <c r="U61" s="4" t="str">
        <f t="shared" si="2"/>
        <v/>
      </c>
      <c r="V61" s="4" t="e">
        <f>IF($V$3=$M$3,M61,U61*(1+'Tenure Split (North Wales)'!C$109)+(U$44*(-(50-$T61)*('Tenure Split (North Wales)'!C$110/40))))</f>
        <v>#VALUE!</v>
      </c>
      <c r="W61" s="4" t="e">
        <f>V61*(1+'Tenure Split (North Wales)'!D$109)+(V$44*(-(50-$T61)*('Tenure Split (North Wales)'!D$110/40)))</f>
        <v>#VALUE!</v>
      </c>
      <c r="X61" s="4" t="e">
        <f>W61*(1+'Tenure Split (North Wales)'!E$109)+(W$44*(-(50-$T61)*('Tenure Split (North Wales)'!E$110/40)))</f>
        <v>#VALUE!</v>
      </c>
      <c r="Y61" s="4" t="e">
        <f>X61*(1+'Tenure Split (North Wales)'!F$109)+(X$44*(-(50-$T61)*('Tenure Split (North Wales)'!F$110/40)))</f>
        <v>#VALUE!</v>
      </c>
      <c r="Z61" s="4" t="e">
        <f>Y61*(1+'Tenure Split (North Wales)'!G$109)+(Y$44*(-(50-$T61)*('Tenure Split (North Wales)'!G$110/40)))</f>
        <v>#VALUE!</v>
      </c>
      <c r="AB61" s="1">
        <v>67</v>
      </c>
      <c r="AC61" s="4">
        <f>IF('Tenure Split (WALES)'!$D$8="WG Estimates",'Income (North Wales)'!D61,'Income (North Wales)'!V61)</f>
        <v>37550.060127075834</v>
      </c>
      <c r="AD61" s="4">
        <f>IF('Tenure Split (WALES)'!$D$8="WG Estimates",'Income (North Wales)'!E61,'Income (North Wales)'!W61)</f>
        <v>38627.572035112782</v>
      </c>
      <c r="AE61" s="4">
        <f>IF('Tenure Split (WALES)'!$D$8="WG Estimates",'Income (North Wales)'!F61,'Income (North Wales)'!X61)</f>
        <v>40009.608804180374</v>
      </c>
      <c r="AF61" s="4">
        <f>IF('Tenure Split (WALES)'!$D$8="WG Estimates",'Income (North Wales)'!G61,'Income (North Wales)'!Y61)</f>
        <v>41612.105584233475</v>
      </c>
      <c r="AG61" s="4">
        <f>IF('Tenure Split (WALES)'!$D$8="WG Estimates",'Income (North Wales)'!H61,'Income (North Wales)'!Z61)</f>
        <v>43319.063481449288</v>
      </c>
    </row>
    <row r="62" spans="2:33" x14ac:dyDescent="0.25">
      <c r="B62" s="20">
        <v>68</v>
      </c>
      <c r="C62" s="58">
        <v>36949</v>
      </c>
      <c r="D62" s="59">
        <f>C62*(1+'Tenure Split (North Wales)'!C$109)+(C$44*(-(50-$B62)*('Tenure Split (North Wales)'!C$110/40)))</f>
        <v>38370.750672805392</v>
      </c>
      <c r="E62" s="59">
        <f>D62*(1+'Tenure Split (North Wales)'!D$109)+(D$44*(-(50-$B62)*('Tenure Split (North Wales)'!D$110/40)))</f>
        <v>39475.95498620822</v>
      </c>
      <c r="F62" s="59">
        <f>E62*(1+'Tenure Split (North Wales)'!E$109)+(E$44*(-(50-$B62)*('Tenure Split (North Wales)'!E$110/40)))</f>
        <v>40892.582216751143</v>
      </c>
      <c r="G62" s="59">
        <f>F62*(1+'Tenure Split (North Wales)'!F$109)+(F$44*(-(50-$B62)*('Tenure Split (North Wales)'!F$110/40)))</f>
        <v>42534.807543710565</v>
      </c>
      <c r="H62" s="60">
        <f>G62*(1+'Tenure Split (North Wales)'!G$109)+(G$44*(-(50-$B62)*('Tenure Split (North Wales)'!G$110/40)))</f>
        <v>44284.127214157124</v>
      </c>
      <c r="L62" s="64" t="str">
        <f t="shared" si="0"/>
        <v/>
      </c>
      <c r="M62" s="251"/>
      <c r="N62" s="37">
        <f t="shared" si="3"/>
        <v>1</v>
      </c>
      <c r="T62" s="1">
        <f t="shared" si="1"/>
        <v>68</v>
      </c>
      <c r="U62" s="4" t="str">
        <f t="shared" si="2"/>
        <v/>
      </c>
      <c r="V62" s="4" t="e">
        <f>IF($V$3=$M$3,M62,U62*(1+'Tenure Split (North Wales)'!C$109)+(U$44*(-(50-$T62)*('Tenure Split (North Wales)'!C$110/40))))</f>
        <v>#VALUE!</v>
      </c>
      <c r="W62" s="4" t="e">
        <f>V62*(1+'Tenure Split (North Wales)'!D$109)+(V$44*(-(50-$T62)*('Tenure Split (North Wales)'!D$110/40)))</f>
        <v>#VALUE!</v>
      </c>
      <c r="X62" s="4" t="e">
        <f>W62*(1+'Tenure Split (North Wales)'!E$109)+(W$44*(-(50-$T62)*('Tenure Split (North Wales)'!E$110/40)))</f>
        <v>#VALUE!</v>
      </c>
      <c r="Y62" s="4" t="e">
        <f>X62*(1+'Tenure Split (North Wales)'!F$109)+(X$44*(-(50-$T62)*('Tenure Split (North Wales)'!F$110/40)))</f>
        <v>#VALUE!</v>
      </c>
      <c r="Z62" s="4" t="e">
        <f>Y62*(1+'Tenure Split (North Wales)'!G$109)+(Y$44*(-(50-$T62)*('Tenure Split (North Wales)'!G$110/40)))</f>
        <v>#VALUE!</v>
      </c>
      <c r="AB62" s="1">
        <v>68</v>
      </c>
      <c r="AC62" s="4">
        <f>IF('Tenure Split (WALES)'!$D$8="WG Estimates",'Income (North Wales)'!D62,'Income (North Wales)'!V62)</f>
        <v>38370.750672805392</v>
      </c>
      <c r="AD62" s="4">
        <f>IF('Tenure Split (WALES)'!$D$8="WG Estimates",'Income (North Wales)'!E62,'Income (North Wales)'!W62)</f>
        <v>39475.95498620822</v>
      </c>
      <c r="AE62" s="4">
        <f>IF('Tenure Split (WALES)'!$D$8="WG Estimates",'Income (North Wales)'!F62,'Income (North Wales)'!X62)</f>
        <v>40892.582216751143</v>
      </c>
      <c r="AF62" s="4">
        <f>IF('Tenure Split (WALES)'!$D$8="WG Estimates",'Income (North Wales)'!G62,'Income (North Wales)'!Y62)</f>
        <v>42534.807543710565</v>
      </c>
      <c r="AG62" s="4">
        <f>IF('Tenure Split (WALES)'!$D$8="WG Estimates",'Income (North Wales)'!H62,'Income (North Wales)'!Z62)</f>
        <v>44284.127214157124</v>
      </c>
    </row>
    <row r="63" spans="2:33" x14ac:dyDescent="0.25">
      <c r="B63" s="20">
        <v>69</v>
      </c>
      <c r="C63" s="58">
        <v>37805.839999999997</v>
      </c>
      <c r="D63" s="59">
        <f>C63*(1+'Tenure Split (North Wales)'!C$109)+(C$44*(-(50-$B63)*('Tenure Split (North Wales)'!C$110/40)))</f>
        <v>39264.269662224222</v>
      </c>
      <c r="E63" s="59">
        <f>D63*(1+'Tenure Split (North Wales)'!D$109)+(D$44*(-(50-$B63)*('Tenure Split (North Wales)'!D$110/40)))</f>
        <v>40399.038887272458</v>
      </c>
      <c r="F63" s="59">
        <f>E63*(1+'Tenure Split (North Wales)'!E$109)+(E$44*(-(50-$B63)*('Tenure Split (North Wales)'!E$110/40)))</f>
        <v>41852.706995415356</v>
      </c>
      <c r="G63" s="59">
        <f>F63*(1+'Tenure Split (North Wales)'!F$109)+(F$44*(-(50-$B63)*('Tenure Split (North Wales)'!F$110/40)))</f>
        <v>43537.522093468935</v>
      </c>
      <c r="H63" s="60">
        <f>G63*(1+'Tenure Split (North Wales)'!G$109)+(G$44*(-(50-$B63)*('Tenure Split (North Wales)'!G$110/40)))</f>
        <v>45332.248994205569</v>
      </c>
      <c r="L63" s="64" t="str">
        <f t="shared" si="0"/>
        <v/>
      </c>
      <c r="M63" s="251"/>
      <c r="N63" s="37">
        <f t="shared" si="3"/>
        <v>1</v>
      </c>
      <c r="T63" s="1">
        <f t="shared" si="1"/>
        <v>69</v>
      </c>
      <c r="U63" s="4" t="str">
        <f t="shared" si="2"/>
        <v/>
      </c>
      <c r="V63" s="4" t="e">
        <f>IF($V$3=$M$3,M63,U63*(1+'Tenure Split (North Wales)'!C$109)+(U$44*(-(50-$T63)*('Tenure Split (North Wales)'!C$110/40))))</f>
        <v>#VALUE!</v>
      </c>
      <c r="W63" s="4" t="e">
        <f>V63*(1+'Tenure Split (North Wales)'!D$109)+(V$44*(-(50-$T63)*('Tenure Split (North Wales)'!D$110/40)))</f>
        <v>#VALUE!</v>
      </c>
      <c r="X63" s="4" t="e">
        <f>W63*(1+'Tenure Split (North Wales)'!E$109)+(W$44*(-(50-$T63)*('Tenure Split (North Wales)'!E$110/40)))</f>
        <v>#VALUE!</v>
      </c>
      <c r="Y63" s="4" t="e">
        <f>X63*(1+'Tenure Split (North Wales)'!F$109)+(X$44*(-(50-$T63)*('Tenure Split (North Wales)'!F$110/40)))</f>
        <v>#VALUE!</v>
      </c>
      <c r="Z63" s="4" t="e">
        <f>Y63*(1+'Tenure Split (North Wales)'!G$109)+(Y$44*(-(50-$T63)*('Tenure Split (North Wales)'!G$110/40)))</f>
        <v>#VALUE!</v>
      </c>
      <c r="AB63" s="1">
        <v>69</v>
      </c>
      <c r="AC63" s="4">
        <f>IF('Tenure Split (WALES)'!$D$8="WG Estimates",'Income (North Wales)'!D63,'Income (North Wales)'!V63)</f>
        <v>39264.269662224222</v>
      </c>
      <c r="AD63" s="4">
        <f>IF('Tenure Split (WALES)'!$D$8="WG Estimates",'Income (North Wales)'!E63,'Income (North Wales)'!W63)</f>
        <v>40399.038887272458</v>
      </c>
      <c r="AE63" s="4">
        <f>IF('Tenure Split (WALES)'!$D$8="WG Estimates",'Income (North Wales)'!F63,'Income (North Wales)'!X63)</f>
        <v>41852.706995415356</v>
      </c>
      <c r="AF63" s="4">
        <f>IF('Tenure Split (WALES)'!$D$8="WG Estimates",'Income (North Wales)'!G63,'Income (North Wales)'!Y63)</f>
        <v>43537.522093468935</v>
      </c>
      <c r="AG63" s="4">
        <f>IF('Tenure Split (WALES)'!$D$8="WG Estimates",'Income (North Wales)'!H63,'Income (North Wales)'!Z63)</f>
        <v>45332.248994205569</v>
      </c>
    </row>
    <row r="64" spans="2:33" x14ac:dyDescent="0.25">
      <c r="B64" s="20">
        <v>70</v>
      </c>
      <c r="C64" s="58">
        <v>38547</v>
      </c>
      <c r="D64" s="59">
        <f>C64*(1+'Tenure Split (North Wales)'!C$109)+(C$44*(-(50-$B64)*('Tenure Split (North Wales)'!C$110/40)))</f>
        <v>40038.01619833093</v>
      </c>
      <c r="E64" s="59">
        <f>D64*(1+'Tenure Split (North Wales)'!D$109)+(D$44*(-(50-$B64)*('Tenure Split (North Wales)'!D$110/40)))</f>
        <v>41199.270842183876</v>
      </c>
      <c r="F64" s="59">
        <f>E64*(1+'Tenure Split (North Wales)'!E$109)+(E$44*(-(50-$B64)*('Tenure Split (North Wales)'!E$110/40)))</f>
        <v>42685.9499141181</v>
      </c>
      <c r="G64" s="59">
        <f>F64*(1+'Tenure Split (North Wales)'!F$109)+(F$44*(-(50-$B64)*('Tenure Split (North Wales)'!F$110/40)))</f>
        <v>44408.649261314611</v>
      </c>
      <c r="H64" s="60">
        <f>G64*(1+'Tenure Split (North Wales)'!G$109)+(G$44*(-(50-$B64)*('Tenure Split (North Wales)'!G$110/40)))</f>
        <v>46243.774884058359</v>
      </c>
      <c r="L64" s="64" t="str">
        <f t="shared" si="0"/>
        <v/>
      </c>
      <c r="M64" s="251"/>
      <c r="N64" s="37">
        <f t="shared" si="3"/>
        <v>1</v>
      </c>
      <c r="T64" s="1">
        <f t="shared" si="1"/>
        <v>70</v>
      </c>
      <c r="U64" s="4" t="str">
        <f t="shared" si="2"/>
        <v/>
      </c>
      <c r="V64" s="4" t="e">
        <f>IF($V$3=$M$3,M64,U64*(1+'Tenure Split (North Wales)'!C$109)+(U$44*(-(50-$T64)*('Tenure Split (North Wales)'!C$110/40))))</f>
        <v>#VALUE!</v>
      </c>
      <c r="W64" s="4" t="e">
        <f>V64*(1+'Tenure Split (North Wales)'!D$109)+(V$44*(-(50-$T64)*('Tenure Split (North Wales)'!D$110/40)))</f>
        <v>#VALUE!</v>
      </c>
      <c r="X64" s="4" t="e">
        <f>W64*(1+'Tenure Split (North Wales)'!E$109)+(W$44*(-(50-$T64)*('Tenure Split (North Wales)'!E$110/40)))</f>
        <v>#VALUE!</v>
      </c>
      <c r="Y64" s="4" t="e">
        <f>X64*(1+'Tenure Split (North Wales)'!F$109)+(X$44*(-(50-$T64)*('Tenure Split (North Wales)'!F$110/40)))</f>
        <v>#VALUE!</v>
      </c>
      <c r="Z64" s="4" t="e">
        <f>Y64*(1+'Tenure Split (North Wales)'!G$109)+(Y$44*(-(50-$T64)*('Tenure Split (North Wales)'!G$110/40)))</f>
        <v>#VALUE!</v>
      </c>
      <c r="AB64" s="1">
        <v>70</v>
      </c>
      <c r="AC64" s="4">
        <f>IF('Tenure Split (WALES)'!$D$8="WG Estimates",'Income (North Wales)'!D64,'Income (North Wales)'!V64)</f>
        <v>40038.01619833093</v>
      </c>
      <c r="AD64" s="4">
        <f>IF('Tenure Split (WALES)'!$D$8="WG Estimates",'Income (North Wales)'!E64,'Income (North Wales)'!W64)</f>
        <v>41199.270842183876</v>
      </c>
      <c r="AE64" s="4">
        <f>IF('Tenure Split (WALES)'!$D$8="WG Estimates",'Income (North Wales)'!F64,'Income (North Wales)'!X64)</f>
        <v>42685.9499141181</v>
      </c>
      <c r="AF64" s="4">
        <f>IF('Tenure Split (WALES)'!$D$8="WG Estimates",'Income (North Wales)'!G64,'Income (North Wales)'!Y64)</f>
        <v>44408.649261314611</v>
      </c>
      <c r="AG64" s="4">
        <f>IF('Tenure Split (WALES)'!$D$8="WG Estimates",'Income (North Wales)'!H64,'Income (North Wales)'!Z64)</f>
        <v>46243.774884058359</v>
      </c>
    </row>
    <row r="65" spans="2:33" x14ac:dyDescent="0.25">
      <c r="B65" s="20">
        <v>71</v>
      </c>
      <c r="C65" s="58">
        <v>39568.85</v>
      </c>
      <c r="D65" s="59">
        <f>C65*(1+'Tenure Split (North Wales)'!C$109)+(C$44*(-(50-$B65)*('Tenure Split (North Wales)'!C$110/40)))</f>
        <v>41102.382806361762</v>
      </c>
      <c r="E65" s="59">
        <f>D65*(1+'Tenure Split (North Wales)'!D$109)+(D$44*(-(50-$B65)*('Tenure Split (North Wales)'!D$110/40)))</f>
        <v>42297.595058209052</v>
      </c>
      <c r="F65" s="59">
        <f>E65*(1+'Tenure Split (North Wales)'!E$109)+(E$44*(-(50-$B65)*('Tenure Split (North Wales)'!E$110/40)))</f>
        <v>43827.063417819045</v>
      </c>
      <c r="G65" s="59">
        <f>F65*(1+'Tenure Split (North Wales)'!F$109)+(F$44*(-(50-$B65)*('Tenure Split (North Wales)'!F$110/40)))</f>
        <v>45599.064657281677</v>
      </c>
      <c r="H65" s="60">
        <f>G65*(1+'Tenure Split (North Wales)'!G$109)+(G$44*(-(50-$B65)*('Tenure Split (North Wales)'!G$110/40)))</f>
        <v>47486.741821793476</v>
      </c>
      <c r="L65" s="64" t="str">
        <f t="shared" si="0"/>
        <v/>
      </c>
      <c r="M65" s="251"/>
      <c r="N65" s="37">
        <f t="shared" si="3"/>
        <v>1</v>
      </c>
      <c r="T65" s="1">
        <f t="shared" si="1"/>
        <v>71</v>
      </c>
      <c r="U65" s="4" t="str">
        <f t="shared" si="2"/>
        <v/>
      </c>
      <c r="V65" s="4" t="e">
        <f>IF($V$3=$M$3,M65,U65*(1+'Tenure Split (North Wales)'!C$109)+(U$44*(-(50-$T65)*('Tenure Split (North Wales)'!C$110/40))))</f>
        <v>#VALUE!</v>
      </c>
      <c r="W65" s="4" t="e">
        <f>V65*(1+'Tenure Split (North Wales)'!D$109)+(V$44*(-(50-$T65)*('Tenure Split (North Wales)'!D$110/40)))</f>
        <v>#VALUE!</v>
      </c>
      <c r="X65" s="4" t="e">
        <f>W65*(1+'Tenure Split (North Wales)'!E$109)+(W$44*(-(50-$T65)*('Tenure Split (North Wales)'!E$110/40)))</f>
        <v>#VALUE!</v>
      </c>
      <c r="Y65" s="4" t="e">
        <f>X65*(1+'Tenure Split (North Wales)'!F$109)+(X$44*(-(50-$T65)*('Tenure Split (North Wales)'!F$110/40)))</f>
        <v>#VALUE!</v>
      </c>
      <c r="Z65" s="4" t="e">
        <f>Y65*(1+'Tenure Split (North Wales)'!G$109)+(Y$44*(-(50-$T65)*('Tenure Split (North Wales)'!G$110/40)))</f>
        <v>#VALUE!</v>
      </c>
      <c r="AB65" s="1">
        <v>71</v>
      </c>
      <c r="AC65" s="4">
        <f>IF('Tenure Split (WALES)'!$D$8="WG Estimates",'Income (North Wales)'!D65,'Income (North Wales)'!V65)</f>
        <v>41102.382806361762</v>
      </c>
      <c r="AD65" s="4">
        <f>IF('Tenure Split (WALES)'!$D$8="WG Estimates",'Income (North Wales)'!E65,'Income (North Wales)'!W65)</f>
        <v>42297.595058209052</v>
      </c>
      <c r="AE65" s="4">
        <f>IF('Tenure Split (WALES)'!$D$8="WG Estimates",'Income (North Wales)'!F65,'Income (North Wales)'!X65)</f>
        <v>43827.063417819045</v>
      </c>
      <c r="AF65" s="4">
        <f>IF('Tenure Split (WALES)'!$D$8="WG Estimates",'Income (North Wales)'!G65,'Income (North Wales)'!Y65)</f>
        <v>45599.064657281677</v>
      </c>
      <c r="AG65" s="4">
        <f>IF('Tenure Split (WALES)'!$D$8="WG Estimates",'Income (North Wales)'!H65,'Income (North Wales)'!Z65)</f>
        <v>47486.741821793476</v>
      </c>
    </row>
    <row r="66" spans="2:33" x14ac:dyDescent="0.25">
      <c r="B66" s="20">
        <v>72</v>
      </c>
      <c r="C66" s="58">
        <v>40110</v>
      </c>
      <c r="D66" s="59">
        <f>C66*(1+'Tenure Split (North Wales)'!C$109)+(C$44*(-(50-$B66)*('Tenure Split (North Wales)'!C$110/40)))</f>
        <v>41669.043516163481</v>
      </c>
      <c r="E66" s="59">
        <f>D66*(1+'Tenure Split (North Wales)'!D$109)+(D$44*(-(50-$B66)*('Tenure Split (North Wales)'!D$110/40)))</f>
        <v>42885.416762860856</v>
      </c>
      <c r="F66" s="59">
        <f>E66*(1+'Tenure Split (North Wales)'!E$109)+(E$44*(-(50-$B66)*('Tenure Split (North Wales)'!E$110/40)))</f>
        <v>44440.92839036946</v>
      </c>
      <c r="G66" s="59">
        <f>F66*(1+'Tenure Split (North Wales)'!F$109)+(F$44*(-(50-$B66)*('Tenure Split (North Wales)'!F$110/40)))</f>
        <v>46242.678060808823</v>
      </c>
      <c r="H66" s="60">
        <f>G66*(1+'Tenure Split (North Wales)'!G$109)+(G$44*(-(50-$B66)*('Tenure Split (North Wales)'!G$110/40)))</f>
        <v>48162.094267679786</v>
      </c>
      <c r="L66" s="64" t="str">
        <f t="shared" si="0"/>
        <v/>
      </c>
      <c r="M66" s="251"/>
      <c r="N66" s="37">
        <f t="shared" si="3"/>
        <v>1</v>
      </c>
      <c r="T66" s="1">
        <f t="shared" si="1"/>
        <v>72</v>
      </c>
      <c r="U66" s="4" t="str">
        <f t="shared" si="2"/>
        <v/>
      </c>
      <c r="V66" s="4" t="e">
        <f>IF($V$3=$M$3,M66,U66*(1+'Tenure Split (North Wales)'!C$109)+(U$44*(-(50-$T66)*('Tenure Split (North Wales)'!C$110/40))))</f>
        <v>#VALUE!</v>
      </c>
      <c r="W66" s="4" t="e">
        <f>V66*(1+'Tenure Split (North Wales)'!D$109)+(V$44*(-(50-$T66)*('Tenure Split (North Wales)'!D$110/40)))</f>
        <v>#VALUE!</v>
      </c>
      <c r="X66" s="4" t="e">
        <f>W66*(1+'Tenure Split (North Wales)'!E$109)+(W$44*(-(50-$T66)*('Tenure Split (North Wales)'!E$110/40)))</f>
        <v>#VALUE!</v>
      </c>
      <c r="Y66" s="4" t="e">
        <f>X66*(1+'Tenure Split (North Wales)'!F$109)+(X$44*(-(50-$T66)*('Tenure Split (North Wales)'!F$110/40)))</f>
        <v>#VALUE!</v>
      </c>
      <c r="Z66" s="4" t="e">
        <f>Y66*(1+'Tenure Split (North Wales)'!G$109)+(Y$44*(-(50-$T66)*('Tenure Split (North Wales)'!G$110/40)))</f>
        <v>#VALUE!</v>
      </c>
      <c r="AB66" s="1">
        <v>72</v>
      </c>
      <c r="AC66" s="4">
        <f>IF('Tenure Split (WALES)'!$D$8="WG Estimates",'Income (North Wales)'!D66,'Income (North Wales)'!V66)</f>
        <v>41669.043516163481</v>
      </c>
      <c r="AD66" s="4">
        <f>IF('Tenure Split (WALES)'!$D$8="WG Estimates",'Income (North Wales)'!E66,'Income (North Wales)'!W66)</f>
        <v>42885.416762860856</v>
      </c>
      <c r="AE66" s="4">
        <f>IF('Tenure Split (WALES)'!$D$8="WG Estimates",'Income (North Wales)'!F66,'Income (North Wales)'!X66)</f>
        <v>44440.92839036946</v>
      </c>
      <c r="AF66" s="4">
        <f>IF('Tenure Split (WALES)'!$D$8="WG Estimates",'Income (North Wales)'!G66,'Income (North Wales)'!Y66)</f>
        <v>46242.678060808823</v>
      </c>
      <c r="AG66" s="4">
        <f>IF('Tenure Split (WALES)'!$D$8="WG Estimates",'Income (North Wales)'!H66,'Income (North Wales)'!Z66)</f>
        <v>48162.094267679786</v>
      </c>
    </row>
    <row r="67" spans="2:33" x14ac:dyDescent="0.25">
      <c r="B67" s="20">
        <v>73</v>
      </c>
      <c r="C67" s="58">
        <v>40984</v>
      </c>
      <c r="D67" s="59">
        <f>C67*(1+'Tenure Split (North Wales)'!C$109)+(C$44*(-(50-$B67)*('Tenure Split (North Wales)'!C$110/40)))</f>
        <v>42580.329581125508</v>
      </c>
      <c r="E67" s="59">
        <f>D67*(1+'Tenure Split (North Wales)'!D$109)+(D$44*(-(50-$B67)*('Tenure Split (North Wales)'!D$110/40)))</f>
        <v>43826.724552202963</v>
      </c>
      <c r="F67" s="59">
        <f>E67*(1+'Tenure Split (North Wales)'!E$109)+(E$44*(-(50-$B67)*('Tenure Split (North Wales)'!E$110/40)))</f>
        <v>45419.874855729227</v>
      </c>
      <c r="G67" s="59">
        <f>F67*(1+'Tenure Split (North Wales)'!F$109)+(F$44*(-(50-$B67)*('Tenure Split (North Wales)'!F$110/40)))</f>
        <v>47264.912315560505</v>
      </c>
      <c r="H67" s="60">
        <f>G67*(1+'Tenure Split (North Wales)'!G$109)+(G$44*(-(50-$B67)*('Tenure Split (North Wales)'!G$110/40)))</f>
        <v>49230.478716087164</v>
      </c>
      <c r="L67" s="64" t="str">
        <f t="shared" si="0"/>
        <v/>
      </c>
      <c r="M67" s="251"/>
      <c r="N67" s="37">
        <f t="shared" si="3"/>
        <v>1</v>
      </c>
      <c r="T67" s="1">
        <f t="shared" si="1"/>
        <v>73</v>
      </c>
      <c r="U67" s="4" t="str">
        <f t="shared" si="2"/>
        <v/>
      </c>
      <c r="V67" s="4" t="e">
        <f>IF($V$3=$M$3,M67,U67*(1+'Tenure Split (North Wales)'!C$109)+(U$44*(-(50-$T67)*('Tenure Split (North Wales)'!C$110/40))))</f>
        <v>#VALUE!</v>
      </c>
      <c r="W67" s="4" t="e">
        <f>V67*(1+'Tenure Split (North Wales)'!D$109)+(V$44*(-(50-$T67)*('Tenure Split (North Wales)'!D$110/40)))</f>
        <v>#VALUE!</v>
      </c>
      <c r="X67" s="4" t="e">
        <f>W67*(1+'Tenure Split (North Wales)'!E$109)+(W$44*(-(50-$T67)*('Tenure Split (North Wales)'!E$110/40)))</f>
        <v>#VALUE!</v>
      </c>
      <c r="Y67" s="4" t="e">
        <f>X67*(1+'Tenure Split (North Wales)'!F$109)+(X$44*(-(50-$T67)*('Tenure Split (North Wales)'!F$110/40)))</f>
        <v>#VALUE!</v>
      </c>
      <c r="Z67" s="4" t="e">
        <f>Y67*(1+'Tenure Split (North Wales)'!G$109)+(Y$44*(-(50-$T67)*('Tenure Split (North Wales)'!G$110/40)))</f>
        <v>#VALUE!</v>
      </c>
      <c r="AB67" s="1">
        <v>73</v>
      </c>
      <c r="AC67" s="4">
        <f>IF('Tenure Split (WALES)'!$D$8="WG Estimates",'Income (North Wales)'!D67,'Income (North Wales)'!V67)</f>
        <v>42580.329581125508</v>
      </c>
      <c r="AD67" s="4">
        <f>IF('Tenure Split (WALES)'!$D$8="WG Estimates",'Income (North Wales)'!E67,'Income (North Wales)'!W67)</f>
        <v>43826.724552202963</v>
      </c>
      <c r="AE67" s="4">
        <f>IF('Tenure Split (WALES)'!$D$8="WG Estimates",'Income (North Wales)'!F67,'Income (North Wales)'!X67)</f>
        <v>45419.874855729227</v>
      </c>
      <c r="AF67" s="4">
        <f>IF('Tenure Split (WALES)'!$D$8="WG Estimates",'Income (North Wales)'!G67,'Income (North Wales)'!Y67)</f>
        <v>47264.912315560505</v>
      </c>
      <c r="AG67" s="4">
        <f>IF('Tenure Split (WALES)'!$D$8="WG Estimates",'Income (North Wales)'!H67,'Income (North Wales)'!Z67)</f>
        <v>49230.478716087164</v>
      </c>
    </row>
    <row r="68" spans="2:33" x14ac:dyDescent="0.25">
      <c r="B68" s="20">
        <v>74</v>
      </c>
      <c r="C68" s="58">
        <v>42025</v>
      </c>
      <c r="D68" s="59">
        <f>C68*(1+'Tenure Split (North Wales)'!C$109)+(C$44*(-(50-$B68)*('Tenure Split (North Wales)'!C$110/40)))</f>
        <v>43664.523665651213</v>
      </c>
      <c r="E68" s="59">
        <f>D68*(1+'Tenure Split (North Wales)'!D$109)+(D$44*(-(50-$B68)*('Tenure Split (North Wales)'!D$110/40)))</f>
        <v>44945.386032827257</v>
      </c>
      <c r="F68" s="59">
        <f>E68*(1+'Tenure Split (North Wales)'!E$109)+(E$44*(-(50-$B68)*('Tenure Split (North Wales)'!E$110/40)))</f>
        <v>46581.992747554832</v>
      </c>
      <c r="G68" s="59">
        <f>F68*(1+'Tenure Split (North Wales)'!F$109)+(F$44*(-(50-$B68)*('Tenure Split (North Wales)'!F$110/40)))</f>
        <v>48477.111065293364</v>
      </c>
      <c r="H68" s="60">
        <f>G68*(1+'Tenure Split (North Wales)'!G$109)+(G$44*(-(50-$B68)*('Tenure Split (North Wales)'!G$110/40)))</f>
        <v>50496.05813045823</v>
      </c>
      <c r="L68" s="64" t="str">
        <f t="shared" ref="L68:L84" si="4">IF(ISBLANK($K$4),"",B68)</f>
        <v/>
      </c>
      <c r="M68" s="251"/>
      <c r="N68" s="37">
        <f t="shared" si="3"/>
        <v>1</v>
      </c>
      <c r="T68" s="1">
        <f t="shared" ref="T68:T84" si="5">B68</f>
        <v>74</v>
      </c>
      <c r="U68" s="4" t="str">
        <f t="shared" ref="U68:U84" si="6">IF($M$3=$U$3,M68,"")</f>
        <v/>
      </c>
      <c r="V68" s="4" t="e">
        <f>IF($V$3=$M$3,M68,U68*(1+'Tenure Split (North Wales)'!C$109)+(U$44*(-(50-$T68)*('Tenure Split (North Wales)'!C$110/40))))</f>
        <v>#VALUE!</v>
      </c>
      <c r="W68" s="4" t="e">
        <f>V68*(1+'Tenure Split (North Wales)'!D$109)+(V$44*(-(50-$T68)*('Tenure Split (North Wales)'!D$110/40)))</f>
        <v>#VALUE!</v>
      </c>
      <c r="X68" s="4" t="e">
        <f>W68*(1+'Tenure Split (North Wales)'!E$109)+(W$44*(-(50-$T68)*('Tenure Split (North Wales)'!E$110/40)))</f>
        <v>#VALUE!</v>
      </c>
      <c r="Y68" s="4" t="e">
        <f>X68*(1+'Tenure Split (North Wales)'!F$109)+(X$44*(-(50-$T68)*('Tenure Split (North Wales)'!F$110/40)))</f>
        <v>#VALUE!</v>
      </c>
      <c r="Z68" s="4" t="e">
        <f>Y68*(1+'Tenure Split (North Wales)'!G$109)+(Y$44*(-(50-$T68)*('Tenure Split (North Wales)'!G$110/40)))</f>
        <v>#VALUE!</v>
      </c>
      <c r="AB68" s="1">
        <v>74</v>
      </c>
      <c r="AC68" s="4">
        <f>IF('Tenure Split (WALES)'!$D$8="WG Estimates",'Income (North Wales)'!D68,'Income (North Wales)'!V68)</f>
        <v>43664.523665651213</v>
      </c>
      <c r="AD68" s="4">
        <f>IF('Tenure Split (WALES)'!$D$8="WG Estimates",'Income (North Wales)'!E68,'Income (North Wales)'!W68)</f>
        <v>44945.386032827257</v>
      </c>
      <c r="AE68" s="4">
        <f>IF('Tenure Split (WALES)'!$D$8="WG Estimates",'Income (North Wales)'!F68,'Income (North Wales)'!X68)</f>
        <v>46581.992747554832</v>
      </c>
      <c r="AF68" s="4">
        <f>IF('Tenure Split (WALES)'!$D$8="WG Estimates",'Income (North Wales)'!G68,'Income (North Wales)'!Y68)</f>
        <v>48477.111065293364</v>
      </c>
      <c r="AG68" s="4">
        <f>IF('Tenure Split (WALES)'!$D$8="WG Estimates",'Income (North Wales)'!H68,'Income (North Wales)'!Z68)</f>
        <v>50496.05813045823</v>
      </c>
    </row>
    <row r="69" spans="2:33" x14ac:dyDescent="0.25">
      <c r="B69" s="20">
        <v>75</v>
      </c>
      <c r="C69" s="58">
        <v>43190.6</v>
      </c>
      <c r="D69" s="59">
        <f>C69*(1+'Tenure Split (North Wales)'!C$109)+(C$44*(-(50-$B69)*('Tenure Split (North Wales)'!C$110/40)))</f>
        <v>44877.725769563956</v>
      </c>
      <c r="E69" s="59">
        <f>D69*(1+'Tenure Split (North Wales)'!D$109)+(D$44*(-(50-$B69)*('Tenure Split (North Wales)'!D$110/40)))</f>
        <v>46196.372483114814</v>
      </c>
      <c r="F69" s="59">
        <f>E69*(1+'Tenure Split (North Wales)'!E$109)+(E$44*(-(50-$B69)*('Tenure Split (North Wales)'!E$110/40)))</f>
        <v>47880.776266551984</v>
      </c>
      <c r="G69" s="59">
        <f>F69*(1+'Tenure Split (North Wales)'!F$109)+(F$44*(-(50-$B69)*('Tenure Split (North Wales)'!F$110/40)))</f>
        <v>49831.043803497247</v>
      </c>
      <c r="H69" s="60">
        <f>G69*(1+'Tenure Split (North Wales)'!G$109)+(G$44*(-(50-$B69)*('Tenure Split (North Wales)'!G$110/40)))</f>
        <v>51908.766243985447</v>
      </c>
      <c r="L69" s="64" t="str">
        <f t="shared" si="4"/>
        <v/>
      </c>
      <c r="M69" s="251"/>
      <c r="N69" s="37">
        <f t="shared" ref="N69:N84" si="7">IF(ISBLANK(M69),1,0)</f>
        <v>1</v>
      </c>
      <c r="T69" s="1">
        <f t="shared" si="5"/>
        <v>75</v>
      </c>
      <c r="U69" s="4" t="str">
        <f t="shared" si="6"/>
        <v/>
      </c>
      <c r="V69" s="4" t="e">
        <f>IF($V$3=$M$3,M69,U69*(1+'Tenure Split (North Wales)'!C$109)+(U$44*(-(50-$T69)*('Tenure Split (North Wales)'!C$110/40))))</f>
        <v>#VALUE!</v>
      </c>
      <c r="W69" s="4" t="e">
        <f>V69*(1+'Tenure Split (North Wales)'!D$109)+(V$44*(-(50-$T69)*('Tenure Split (North Wales)'!D$110/40)))</f>
        <v>#VALUE!</v>
      </c>
      <c r="X69" s="4" t="e">
        <f>W69*(1+'Tenure Split (North Wales)'!E$109)+(W$44*(-(50-$T69)*('Tenure Split (North Wales)'!E$110/40)))</f>
        <v>#VALUE!</v>
      </c>
      <c r="Y69" s="4" t="e">
        <f>X69*(1+'Tenure Split (North Wales)'!F$109)+(X$44*(-(50-$T69)*('Tenure Split (North Wales)'!F$110/40)))</f>
        <v>#VALUE!</v>
      </c>
      <c r="Z69" s="4" t="e">
        <f>Y69*(1+'Tenure Split (North Wales)'!G$109)+(Y$44*(-(50-$T69)*('Tenure Split (North Wales)'!G$110/40)))</f>
        <v>#VALUE!</v>
      </c>
      <c r="AB69" s="1">
        <v>75</v>
      </c>
      <c r="AC69" s="4">
        <f>IF('Tenure Split (WALES)'!$D$8="WG Estimates",'Income (North Wales)'!D69,'Income (North Wales)'!V69)</f>
        <v>44877.725769563956</v>
      </c>
      <c r="AD69" s="4">
        <f>IF('Tenure Split (WALES)'!$D$8="WG Estimates",'Income (North Wales)'!E69,'Income (North Wales)'!W69)</f>
        <v>46196.372483114814</v>
      </c>
      <c r="AE69" s="4">
        <f>IF('Tenure Split (WALES)'!$D$8="WG Estimates",'Income (North Wales)'!F69,'Income (North Wales)'!X69)</f>
        <v>47880.776266551984</v>
      </c>
      <c r="AF69" s="4">
        <f>IF('Tenure Split (WALES)'!$D$8="WG Estimates",'Income (North Wales)'!G69,'Income (North Wales)'!Y69)</f>
        <v>49831.043803497247</v>
      </c>
      <c r="AG69" s="4">
        <f>IF('Tenure Split (WALES)'!$D$8="WG Estimates",'Income (North Wales)'!H69,'Income (North Wales)'!Z69)</f>
        <v>51908.766243985447</v>
      </c>
    </row>
    <row r="70" spans="2:33" x14ac:dyDescent="0.25">
      <c r="B70" s="20">
        <v>76</v>
      </c>
      <c r="C70" s="58">
        <v>44720.14</v>
      </c>
      <c r="D70" s="59">
        <f>C70*(1+'Tenure Split (North Wales)'!C$109)+(C$44*(-(50-$B70)*('Tenure Split (North Wales)'!C$110/40)))</f>
        <v>46467.743110842006</v>
      </c>
      <c r="E70" s="59">
        <f>D70*(1+'Tenure Split (North Wales)'!D$109)+(D$44*(-(50-$B70)*('Tenure Split (North Wales)'!D$110/40)))</f>
        <v>47833.862540619382</v>
      </c>
      <c r="F70" s="59">
        <f>E70*(1+'Tenure Split (North Wales)'!E$109)+(E$44*(-(50-$B70)*('Tenure Split (North Wales)'!E$110/40)))</f>
        <v>49578.741875057996</v>
      </c>
      <c r="G70" s="59">
        <f>F70*(1+'Tenure Split (North Wales)'!F$109)+(F$44*(-(50-$B70)*('Tenure Split (North Wales)'!F$110/40)))</f>
        <v>51598.962639326608</v>
      </c>
      <c r="H70" s="60">
        <f>G70*(1+'Tenure Split (North Wales)'!G$109)+(G$44*(-(50-$B70)*('Tenure Split (North Wales)'!G$110/40)))</f>
        <v>53751.217686331962</v>
      </c>
      <c r="L70" s="64" t="str">
        <f t="shared" si="4"/>
        <v/>
      </c>
      <c r="M70" s="251"/>
      <c r="N70" s="37">
        <f t="shared" si="7"/>
        <v>1</v>
      </c>
      <c r="T70" s="1">
        <f t="shared" si="5"/>
        <v>76</v>
      </c>
      <c r="U70" s="4" t="str">
        <f t="shared" si="6"/>
        <v/>
      </c>
      <c r="V70" s="4" t="e">
        <f>IF($V$3=$M$3,M70,U70*(1+'Tenure Split (North Wales)'!C$109)+(U$44*(-(50-$T70)*('Tenure Split (North Wales)'!C$110/40))))</f>
        <v>#VALUE!</v>
      </c>
      <c r="W70" s="4" t="e">
        <f>V70*(1+'Tenure Split (North Wales)'!D$109)+(V$44*(-(50-$T70)*('Tenure Split (North Wales)'!D$110/40)))</f>
        <v>#VALUE!</v>
      </c>
      <c r="X70" s="4" t="e">
        <f>W70*(1+'Tenure Split (North Wales)'!E$109)+(W$44*(-(50-$T70)*('Tenure Split (North Wales)'!E$110/40)))</f>
        <v>#VALUE!</v>
      </c>
      <c r="Y70" s="4" t="e">
        <f>X70*(1+'Tenure Split (North Wales)'!F$109)+(X$44*(-(50-$T70)*('Tenure Split (North Wales)'!F$110/40)))</f>
        <v>#VALUE!</v>
      </c>
      <c r="Z70" s="4" t="e">
        <f>Y70*(1+'Tenure Split (North Wales)'!G$109)+(Y$44*(-(50-$T70)*('Tenure Split (North Wales)'!G$110/40)))</f>
        <v>#VALUE!</v>
      </c>
      <c r="AB70" s="1">
        <v>76</v>
      </c>
      <c r="AC70" s="4">
        <f>IF('Tenure Split (WALES)'!$D$8="WG Estimates",'Income (North Wales)'!D70,'Income (North Wales)'!V70)</f>
        <v>46467.743110842006</v>
      </c>
      <c r="AD70" s="4">
        <f>IF('Tenure Split (WALES)'!$D$8="WG Estimates",'Income (North Wales)'!E70,'Income (North Wales)'!W70)</f>
        <v>47833.862540619382</v>
      </c>
      <c r="AE70" s="4">
        <f>IF('Tenure Split (WALES)'!$D$8="WG Estimates",'Income (North Wales)'!F70,'Income (North Wales)'!X70)</f>
        <v>49578.741875057996</v>
      </c>
      <c r="AF70" s="4">
        <f>IF('Tenure Split (WALES)'!$D$8="WG Estimates",'Income (North Wales)'!G70,'Income (North Wales)'!Y70)</f>
        <v>51598.962639326608</v>
      </c>
      <c r="AG70" s="4">
        <f>IF('Tenure Split (WALES)'!$D$8="WG Estimates",'Income (North Wales)'!H70,'Income (North Wales)'!Z70)</f>
        <v>53751.217686331962</v>
      </c>
    </row>
    <row r="71" spans="2:33" x14ac:dyDescent="0.25">
      <c r="B71" s="20">
        <v>77</v>
      </c>
      <c r="C71" s="58">
        <v>45677</v>
      </c>
      <c r="D71" s="59">
        <f>C71*(1+'Tenure Split (North Wales)'!C$109)+(C$44*(-(50-$B71)*('Tenure Split (North Wales)'!C$110/40)))</f>
        <v>47464.820544073773</v>
      </c>
      <c r="E71" s="59">
        <f>D71*(1+'Tenure Split (North Wales)'!D$109)+(D$44*(-(50-$B71)*('Tenure Split (North Wales)'!D$110/40)))</f>
        <v>48863.167496785696</v>
      </c>
      <c r="F71" s="59">
        <f>E71*(1+'Tenure Split (North Wales)'!E$109)+(E$44*(-(50-$B71)*('Tenure Split (North Wales)'!E$110/40)))</f>
        <v>50648.572079321711</v>
      </c>
      <c r="G71" s="59">
        <f>F71*(1+'Tenure Split (North Wales)'!F$109)+(F$44*(-(50-$B71)*('Tenure Split (North Wales)'!F$110/40)))</f>
        <v>52715.451133923438</v>
      </c>
      <c r="H71" s="60">
        <f>G71*(1+'Tenure Split (North Wales)'!G$109)+(G$44*(-(50-$B71)*('Tenure Split (North Wales)'!G$110/40)))</f>
        <v>54917.443900486345</v>
      </c>
      <c r="L71" s="64" t="str">
        <f t="shared" si="4"/>
        <v/>
      </c>
      <c r="M71" s="251"/>
      <c r="N71" s="37">
        <f t="shared" si="7"/>
        <v>1</v>
      </c>
      <c r="T71" s="1">
        <f t="shared" si="5"/>
        <v>77</v>
      </c>
      <c r="U71" s="4" t="str">
        <f t="shared" si="6"/>
        <v/>
      </c>
      <c r="V71" s="4" t="e">
        <f>IF($V$3=$M$3,M71,U71*(1+'Tenure Split (North Wales)'!C$109)+(U$44*(-(50-$T71)*('Tenure Split (North Wales)'!C$110/40))))</f>
        <v>#VALUE!</v>
      </c>
      <c r="W71" s="4" t="e">
        <f>V71*(1+'Tenure Split (North Wales)'!D$109)+(V$44*(-(50-$T71)*('Tenure Split (North Wales)'!D$110/40)))</f>
        <v>#VALUE!</v>
      </c>
      <c r="X71" s="4" t="e">
        <f>W71*(1+'Tenure Split (North Wales)'!E$109)+(W$44*(-(50-$T71)*('Tenure Split (North Wales)'!E$110/40)))</f>
        <v>#VALUE!</v>
      </c>
      <c r="Y71" s="4" t="e">
        <f>X71*(1+'Tenure Split (North Wales)'!F$109)+(X$44*(-(50-$T71)*('Tenure Split (North Wales)'!F$110/40)))</f>
        <v>#VALUE!</v>
      </c>
      <c r="Z71" s="4" t="e">
        <f>Y71*(1+'Tenure Split (North Wales)'!G$109)+(Y$44*(-(50-$T71)*('Tenure Split (North Wales)'!G$110/40)))</f>
        <v>#VALUE!</v>
      </c>
      <c r="AB71" s="1">
        <v>77</v>
      </c>
      <c r="AC71" s="4">
        <f>IF('Tenure Split (WALES)'!$D$8="WG Estimates",'Income (North Wales)'!D71,'Income (North Wales)'!V71)</f>
        <v>47464.820544073773</v>
      </c>
      <c r="AD71" s="4">
        <f>IF('Tenure Split (WALES)'!$D$8="WG Estimates",'Income (North Wales)'!E71,'Income (North Wales)'!W71)</f>
        <v>48863.167496785696</v>
      </c>
      <c r="AE71" s="4">
        <f>IF('Tenure Split (WALES)'!$D$8="WG Estimates",'Income (North Wales)'!F71,'Income (North Wales)'!X71)</f>
        <v>50648.572079321711</v>
      </c>
      <c r="AF71" s="4">
        <f>IF('Tenure Split (WALES)'!$D$8="WG Estimates",'Income (North Wales)'!G71,'Income (North Wales)'!Y71)</f>
        <v>52715.451133923438</v>
      </c>
      <c r="AG71" s="4">
        <f>IF('Tenure Split (WALES)'!$D$8="WG Estimates",'Income (North Wales)'!H71,'Income (North Wales)'!Z71)</f>
        <v>54917.443900486345</v>
      </c>
    </row>
    <row r="72" spans="2:33" x14ac:dyDescent="0.25">
      <c r="B72" s="20">
        <v>78</v>
      </c>
      <c r="C72" s="58">
        <v>46612.5</v>
      </c>
      <c r="D72" s="59">
        <f>C72*(1+'Tenure Split (North Wales)'!C$109)+(C$44*(-(50-$B72)*('Tenure Split (North Wales)'!C$110/40)))</f>
        <v>48439.782316839191</v>
      </c>
      <c r="E72" s="59">
        <f>D72*(1+'Tenure Split (North Wales)'!D$109)+(D$44*(-(50-$B72)*('Tenure Split (North Wales)'!D$110/40)))</f>
        <v>49869.788172438311</v>
      </c>
      <c r="F72" s="59">
        <f>E72*(1+'Tenure Split (North Wales)'!E$109)+(E$44*(-(50-$B72)*('Tenure Split (North Wales)'!E$110/40)))</f>
        <v>51694.973890356021</v>
      </c>
      <c r="G72" s="59">
        <f>F72*(1+'Tenure Split (North Wales)'!F$109)+(F$44*(-(50-$B72)*('Tenure Split (North Wales)'!F$110/40)))</f>
        <v>53807.64237335381</v>
      </c>
      <c r="H72" s="60">
        <f>G72*(1+'Tenure Split (North Wales)'!G$109)+(G$44*(-(50-$B72)*('Tenure Split (North Wales)'!G$110/40)))</f>
        <v>56058.448051928252</v>
      </c>
      <c r="L72" s="64" t="str">
        <f t="shared" si="4"/>
        <v/>
      </c>
      <c r="M72" s="251"/>
      <c r="N72" s="37">
        <f t="shared" si="7"/>
        <v>1</v>
      </c>
      <c r="T72" s="1">
        <f t="shared" si="5"/>
        <v>78</v>
      </c>
      <c r="U72" s="4" t="str">
        <f t="shared" si="6"/>
        <v/>
      </c>
      <c r="V72" s="4" t="e">
        <f>IF($V$3=$M$3,M72,U72*(1+'Tenure Split (North Wales)'!C$109)+(U$44*(-(50-$T72)*('Tenure Split (North Wales)'!C$110/40))))</f>
        <v>#VALUE!</v>
      </c>
      <c r="W72" s="4" t="e">
        <f>V72*(1+'Tenure Split (North Wales)'!D$109)+(V$44*(-(50-$T72)*('Tenure Split (North Wales)'!D$110/40)))</f>
        <v>#VALUE!</v>
      </c>
      <c r="X72" s="4" t="e">
        <f>W72*(1+'Tenure Split (North Wales)'!E$109)+(W$44*(-(50-$T72)*('Tenure Split (North Wales)'!E$110/40)))</f>
        <v>#VALUE!</v>
      </c>
      <c r="Y72" s="4" t="e">
        <f>X72*(1+'Tenure Split (North Wales)'!F$109)+(X$44*(-(50-$T72)*('Tenure Split (North Wales)'!F$110/40)))</f>
        <v>#VALUE!</v>
      </c>
      <c r="Z72" s="4" t="e">
        <f>Y72*(1+'Tenure Split (North Wales)'!G$109)+(Y$44*(-(50-$T72)*('Tenure Split (North Wales)'!G$110/40)))</f>
        <v>#VALUE!</v>
      </c>
      <c r="AB72" s="1">
        <v>78</v>
      </c>
      <c r="AC72" s="4">
        <f>IF('Tenure Split (WALES)'!$D$8="WG Estimates",'Income (North Wales)'!D72,'Income (North Wales)'!V72)</f>
        <v>48439.782316839191</v>
      </c>
      <c r="AD72" s="4">
        <f>IF('Tenure Split (WALES)'!$D$8="WG Estimates",'Income (North Wales)'!E72,'Income (North Wales)'!W72)</f>
        <v>49869.788172438311</v>
      </c>
      <c r="AE72" s="4">
        <f>IF('Tenure Split (WALES)'!$D$8="WG Estimates",'Income (North Wales)'!F72,'Income (North Wales)'!X72)</f>
        <v>51694.973890356021</v>
      </c>
      <c r="AF72" s="4">
        <f>IF('Tenure Split (WALES)'!$D$8="WG Estimates",'Income (North Wales)'!G72,'Income (North Wales)'!Y72)</f>
        <v>53807.64237335381</v>
      </c>
      <c r="AG72" s="4">
        <f>IF('Tenure Split (WALES)'!$D$8="WG Estimates",'Income (North Wales)'!H72,'Income (North Wales)'!Z72)</f>
        <v>56058.448051928252</v>
      </c>
    </row>
    <row r="73" spans="2:33" x14ac:dyDescent="0.25">
      <c r="B73" s="20">
        <v>79</v>
      </c>
      <c r="C73" s="58">
        <v>48255.5</v>
      </c>
      <c r="D73" s="59">
        <f>C73*(1+'Tenure Split (North Wales)'!C$109)+(C$44*(-(50-$B73)*('Tenure Split (North Wales)'!C$110/40)))</f>
        <v>50147.273573684281</v>
      </c>
      <c r="E73" s="59">
        <f>D73*(1+'Tenure Split (North Wales)'!D$109)+(D$44*(-(50-$B73)*('Tenure Split (North Wales)'!D$110/40)))</f>
        <v>51627.772540199636</v>
      </c>
      <c r="F73" s="59">
        <f>E73*(1+'Tenure Split (North Wales)'!E$109)+(E$44*(-(50-$B73)*('Tenure Split (North Wales)'!E$110/40)))</f>
        <v>53517.386385369915</v>
      </c>
      <c r="G73" s="59">
        <f>F73*(1+'Tenure Split (North Wales)'!F$109)+(F$44*(-(50-$B73)*('Tenure Split (North Wales)'!F$110/40)))</f>
        <v>55704.623314575794</v>
      </c>
      <c r="H73" s="60">
        <f>G73*(1+'Tenure Split (North Wales)'!G$109)+(G$44*(-(50-$B73)*('Tenure Split (North Wales)'!G$110/40)))</f>
        <v>58034.873990312146</v>
      </c>
      <c r="L73" s="64" t="str">
        <f t="shared" si="4"/>
        <v/>
      </c>
      <c r="M73" s="251"/>
      <c r="N73" s="37">
        <f t="shared" si="7"/>
        <v>1</v>
      </c>
      <c r="T73" s="1">
        <f t="shared" si="5"/>
        <v>79</v>
      </c>
      <c r="U73" s="4" t="str">
        <f t="shared" si="6"/>
        <v/>
      </c>
      <c r="V73" s="4" t="e">
        <f>IF($V$3=$M$3,M73,U73*(1+'Tenure Split (North Wales)'!C$109)+(U$44*(-(50-$T73)*('Tenure Split (North Wales)'!C$110/40))))</f>
        <v>#VALUE!</v>
      </c>
      <c r="W73" s="4" t="e">
        <f>V73*(1+'Tenure Split (North Wales)'!D$109)+(V$44*(-(50-$T73)*('Tenure Split (North Wales)'!D$110/40)))</f>
        <v>#VALUE!</v>
      </c>
      <c r="X73" s="4" t="e">
        <f>W73*(1+'Tenure Split (North Wales)'!E$109)+(W$44*(-(50-$T73)*('Tenure Split (North Wales)'!E$110/40)))</f>
        <v>#VALUE!</v>
      </c>
      <c r="Y73" s="4" t="e">
        <f>X73*(1+'Tenure Split (North Wales)'!F$109)+(X$44*(-(50-$T73)*('Tenure Split (North Wales)'!F$110/40)))</f>
        <v>#VALUE!</v>
      </c>
      <c r="Z73" s="4" t="e">
        <f>Y73*(1+'Tenure Split (North Wales)'!G$109)+(Y$44*(-(50-$T73)*('Tenure Split (North Wales)'!G$110/40)))</f>
        <v>#VALUE!</v>
      </c>
      <c r="AB73" s="1">
        <v>79</v>
      </c>
      <c r="AC73" s="4">
        <f>IF('Tenure Split (WALES)'!$D$8="WG Estimates",'Income (North Wales)'!D73,'Income (North Wales)'!V73)</f>
        <v>50147.273573684281</v>
      </c>
      <c r="AD73" s="4">
        <f>IF('Tenure Split (WALES)'!$D$8="WG Estimates",'Income (North Wales)'!E73,'Income (North Wales)'!W73)</f>
        <v>51627.772540199636</v>
      </c>
      <c r="AE73" s="4">
        <f>IF('Tenure Split (WALES)'!$D$8="WG Estimates",'Income (North Wales)'!F73,'Income (North Wales)'!X73)</f>
        <v>53517.386385369915</v>
      </c>
      <c r="AF73" s="4">
        <f>IF('Tenure Split (WALES)'!$D$8="WG Estimates",'Income (North Wales)'!G73,'Income (North Wales)'!Y73)</f>
        <v>55704.623314575794</v>
      </c>
      <c r="AG73" s="4">
        <f>IF('Tenure Split (WALES)'!$D$8="WG Estimates",'Income (North Wales)'!H73,'Income (North Wales)'!Z73)</f>
        <v>58034.873990312146</v>
      </c>
    </row>
    <row r="74" spans="2:33" x14ac:dyDescent="0.25">
      <c r="B74" s="20">
        <v>80</v>
      </c>
      <c r="C74" s="58">
        <v>49285</v>
      </c>
      <c r="D74" s="59">
        <f>C74*(1+'Tenure Split (North Wales)'!C$109)+(C$44*(-(50-$B74)*('Tenure Split (North Wales)'!C$110/40)))</f>
        <v>51219.560818539445</v>
      </c>
      <c r="E74" s="59">
        <f>D74*(1+'Tenure Split (North Wales)'!D$109)+(D$44*(-(50-$B74)*('Tenure Split (North Wales)'!D$110/40)))</f>
        <v>52734.221042082958</v>
      </c>
      <c r="F74" s="59">
        <f>E74*(1+'Tenure Split (North Wales)'!E$109)+(E$44*(-(50-$B74)*('Tenure Split (North Wales)'!E$110/40)))</f>
        <v>54666.890675971845</v>
      </c>
      <c r="G74" s="59">
        <f>F74*(1+'Tenure Split (North Wales)'!F$109)+(F$44*(-(50-$B74)*('Tenure Split (North Wales)'!F$110/40)))</f>
        <v>56903.74067692973</v>
      </c>
      <c r="H74" s="60">
        <f>G74*(1+'Tenure Split (North Wales)'!G$109)+(G$44*(-(50-$B74)*('Tenure Split (North Wales)'!G$110/40)))</f>
        <v>59286.87411061985</v>
      </c>
      <c r="L74" s="64" t="str">
        <f t="shared" si="4"/>
        <v/>
      </c>
      <c r="M74" s="251"/>
      <c r="N74" s="37">
        <f t="shared" si="7"/>
        <v>1</v>
      </c>
      <c r="T74" s="1">
        <f t="shared" si="5"/>
        <v>80</v>
      </c>
      <c r="U74" s="4" t="str">
        <f t="shared" si="6"/>
        <v/>
      </c>
      <c r="V74" s="4" t="e">
        <f>IF($V$3=$M$3,M74,U74*(1+'Tenure Split (North Wales)'!C$109)+(U$44*(-(50-$T74)*('Tenure Split (North Wales)'!C$110/40))))</f>
        <v>#VALUE!</v>
      </c>
      <c r="W74" s="4" t="e">
        <f>V74*(1+'Tenure Split (North Wales)'!D$109)+(V$44*(-(50-$T74)*('Tenure Split (North Wales)'!D$110/40)))</f>
        <v>#VALUE!</v>
      </c>
      <c r="X74" s="4" t="e">
        <f>W74*(1+'Tenure Split (North Wales)'!E$109)+(W$44*(-(50-$T74)*('Tenure Split (North Wales)'!E$110/40)))</f>
        <v>#VALUE!</v>
      </c>
      <c r="Y74" s="4" t="e">
        <f>X74*(1+'Tenure Split (North Wales)'!F$109)+(X$44*(-(50-$T74)*('Tenure Split (North Wales)'!F$110/40)))</f>
        <v>#VALUE!</v>
      </c>
      <c r="Z74" s="4" t="e">
        <f>Y74*(1+'Tenure Split (North Wales)'!G$109)+(Y$44*(-(50-$T74)*('Tenure Split (North Wales)'!G$110/40)))</f>
        <v>#VALUE!</v>
      </c>
      <c r="AB74" s="1">
        <v>80</v>
      </c>
      <c r="AC74" s="4">
        <f>IF('Tenure Split (WALES)'!$D$8="WG Estimates",'Income (North Wales)'!D74,'Income (North Wales)'!V74)</f>
        <v>51219.560818539445</v>
      </c>
      <c r="AD74" s="4">
        <f>IF('Tenure Split (WALES)'!$D$8="WG Estimates",'Income (North Wales)'!E74,'Income (North Wales)'!W74)</f>
        <v>52734.221042082958</v>
      </c>
      <c r="AE74" s="4">
        <f>IF('Tenure Split (WALES)'!$D$8="WG Estimates",'Income (North Wales)'!F74,'Income (North Wales)'!X74)</f>
        <v>54666.890675971845</v>
      </c>
      <c r="AF74" s="4">
        <f>IF('Tenure Split (WALES)'!$D$8="WG Estimates",'Income (North Wales)'!G74,'Income (North Wales)'!Y74)</f>
        <v>56903.74067692973</v>
      </c>
      <c r="AG74" s="4">
        <f>IF('Tenure Split (WALES)'!$D$8="WG Estimates",'Income (North Wales)'!H74,'Income (North Wales)'!Z74)</f>
        <v>59286.87411061985</v>
      </c>
    </row>
    <row r="75" spans="2:33" x14ac:dyDescent="0.25">
      <c r="B75" s="20">
        <v>81</v>
      </c>
      <c r="C75" s="58">
        <v>50654.75</v>
      </c>
      <c r="D75" s="59">
        <f>C75*(1+'Tenure Split (North Wales)'!C$109)+(C$44*(-(50-$B75)*('Tenure Split (North Wales)'!C$110/40)))</f>
        <v>52644.135211038571</v>
      </c>
      <c r="E75" s="59">
        <f>D75*(1+'Tenure Split (North Wales)'!D$109)+(D$44*(-(50-$B75)*('Tenure Split (North Wales)'!D$110/40)))</f>
        <v>54202.01441497686</v>
      </c>
      <c r="F75" s="59">
        <f>E75*(1+'Tenure Split (North Wales)'!E$109)+(E$44*(-(50-$B75)*('Tenure Split (North Wales)'!E$110/40)))</f>
        <v>56189.593037561826</v>
      </c>
      <c r="G75" s="59">
        <f>F75*(1+'Tenure Split (North Wales)'!F$109)+(F$44*(-(50-$B75)*('Tenure Split (North Wales)'!F$110/40)))</f>
        <v>58489.896478908529</v>
      </c>
      <c r="H75" s="60">
        <f>G75*(1+'Tenure Split (North Wales)'!G$109)+(G$44*(-(50-$B75)*('Tenure Split (North Wales)'!G$110/40)))</f>
        <v>60940.644213976331</v>
      </c>
      <c r="L75" s="64" t="str">
        <f t="shared" si="4"/>
        <v/>
      </c>
      <c r="M75" s="251"/>
      <c r="N75" s="37">
        <f t="shared" si="7"/>
        <v>1</v>
      </c>
      <c r="T75" s="1">
        <f t="shared" si="5"/>
        <v>81</v>
      </c>
      <c r="U75" s="4" t="str">
        <f t="shared" si="6"/>
        <v/>
      </c>
      <c r="V75" s="4" t="e">
        <f>IF($V$3=$M$3,M75,U75*(1+'Tenure Split (North Wales)'!C$109)+(U$44*(-(50-$T75)*('Tenure Split (North Wales)'!C$110/40))))</f>
        <v>#VALUE!</v>
      </c>
      <c r="W75" s="4" t="e">
        <f>V75*(1+'Tenure Split (North Wales)'!D$109)+(V$44*(-(50-$T75)*('Tenure Split (North Wales)'!D$110/40)))</f>
        <v>#VALUE!</v>
      </c>
      <c r="X75" s="4" t="e">
        <f>W75*(1+'Tenure Split (North Wales)'!E$109)+(W$44*(-(50-$T75)*('Tenure Split (North Wales)'!E$110/40)))</f>
        <v>#VALUE!</v>
      </c>
      <c r="Y75" s="4" t="e">
        <f>X75*(1+'Tenure Split (North Wales)'!F$109)+(X$44*(-(50-$T75)*('Tenure Split (North Wales)'!F$110/40)))</f>
        <v>#VALUE!</v>
      </c>
      <c r="Z75" s="4" t="e">
        <f>Y75*(1+'Tenure Split (North Wales)'!G$109)+(Y$44*(-(50-$T75)*('Tenure Split (North Wales)'!G$110/40)))</f>
        <v>#VALUE!</v>
      </c>
      <c r="AB75" s="1">
        <v>81</v>
      </c>
      <c r="AC75" s="4">
        <f>IF('Tenure Split (WALES)'!$D$8="WG Estimates",'Income (North Wales)'!D75,'Income (North Wales)'!V75)</f>
        <v>52644.135211038571</v>
      </c>
      <c r="AD75" s="4">
        <f>IF('Tenure Split (WALES)'!$D$8="WG Estimates",'Income (North Wales)'!E75,'Income (North Wales)'!W75)</f>
        <v>54202.01441497686</v>
      </c>
      <c r="AE75" s="4">
        <f>IF('Tenure Split (WALES)'!$D$8="WG Estimates",'Income (North Wales)'!F75,'Income (North Wales)'!X75)</f>
        <v>56189.593037561826</v>
      </c>
      <c r="AF75" s="4">
        <f>IF('Tenure Split (WALES)'!$D$8="WG Estimates",'Income (North Wales)'!G75,'Income (North Wales)'!Y75)</f>
        <v>58489.896478908529</v>
      </c>
      <c r="AG75" s="4">
        <f>IF('Tenure Split (WALES)'!$D$8="WG Estimates",'Income (North Wales)'!H75,'Income (North Wales)'!Z75)</f>
        <v>60940.644213976331</v>
      </c>
    </row>
    <row r="76" spans="2:33" x14ac:dyDescent="0.25">
      <c r="B76" s="20">
        <v>82</v>
      </c>
      <c r="C76" s="58">
        <v>51775.95</v>
      </c>
      <c r="D76" s="59">
        <f>C76*(1+'Tenure Split (North Wales)'!C$109)+(C$44*(-(50-$B76)*('Tenure Split (North Wales)'!C$110/40)))</f>
        <v>53811.366560049348</v>
      </c>
      <c r="E76" s="59">
        <f>D76*(1+'Tenure Split (North Wales)'!D$109)+(D$44*(-(50-$B76)*('Tenure Split (North Wales)'!D$110/40)))</f>
        <v>55405.848147342673</v>
      </c>
      <c r="F76" s="59">
        <f>E76*(1+'Tenure Split (North Wales)'!E$109)+(E$44*(-(50-$B76)*('Tenure Split (North Wales)'!E$110/40)))</f>
        <v>57439.677087486605</v>
      </c>
      <c r="G76" s="59">
        <f>F76*(1+'Tenure Split (North Wales)'!F$109)+(F$44*(-(50-$B76)*('Tenure Split (North Wales)'!F$110/40)))</f>
        <v>59793.32368671021</v>
      </c>
      <c r="H76" s="60">
        <f>G76*(1+'Tenure Split (North Wales)'!G$109)+(G$44*(-(50-$B76)*('Tenure Split (North Wales)'!G$110/40)))</f>
        <v>62300.924444337143</v>
      </c>
      <c r="L76" s="64" t="str">
        <f t="shared" si="4"/>
        <v/>
      </c>
      <c r="M76" s="251"/>
      <c r="N76" s="37">
        <f t="shared" si="7"/>
        <v>1</v>
      </c>
      <c r="T76" s="1">
        <f t="shared" si="5"/>
        <v>82</v>
      </c>
      <c r="U76" s="4" t="str">
        <f t="shared" si="6"/>
        <v/>
      </c>
      <c r="V76" s="4" t="e">
        <f>IF($V$3=$M$3,M76,U76*(1+'Tenure Split (North Wales)'!C$109)+(U$44*(-(50-$T76)*('Tenure Split (North Wales)'!C$110/40))))</f>
        <v>#VALUE!</v>
      </c>
      <c r="W76" s="4" t="e">
        <f>V76*(1+'Tenure Split (North Wales)'!D$109)+(V$44*(-(50-$T76)*('Tenure Split (North Wales)'!D$110/40)))</f>
        <v>#VALUE!</v>
      </c>
      <c r="X76" s="4" t="e">
        <f>W76*(1+'Tenure Split (North Wales)'!E$109)+(W$44*(-(50-$T76)*('Tenure Split (North Wales)'!E$110/40)))</f>
        <v>#VALUE!</v>
      </c>
      <c r="Y76" s="4" t="e">
        <f>X76*(1+'Tenure Split (North Wales)'!F$109)+(X$44*(-(50-$T76)*('Tenure Split (North Wales)'!F$110/40)))</f>
        <v>#VALUE!</v>
      </c>
      <c r="Z76" s="4" t="e">
        <f>Y76*(1+'Tenure Split (North Wales)'!G$109)+(Y$44*(-(50-$T76)*('Tenure Split (North Wales)'!G$110/40)))</f>
        <v>#VALUE!</v>
      </c>
      <c r="AB76" s="1">
        <v>82</v>
      </c>
      <c r="AC76" s="4">
        <f>IF('Tenure Split (WALES)'!$D$8="WG Estimates",'Income (North Wales)'!D76,'Income (North Wales)'!V76)</f>
        <v>53811.366560049348</v>
      </c>
      <c r="AD76" s="4">
        <f>IF('Tenure Split (WALES)'!$D$8="WG Estimates",'Income (North Wales)'!E76,'Income (North Wales)'!W76)</f>
        <v>55405.848147342673</v>
      </c>
      <c r="AE76" s="4">
        <f>IF('Tenure Split (WALES)'!$D$8="WG Estimates",'Income (North Wales)'!F76,'Income (North Wales)'!X76)</f>
        <v>57439.677087486605</v>
      </c>
      <c r="AF76" s="4">
        <f>IF('Tenure Split (WALES)'!$D$8="WG Estimates",'Income (North Wales)'!G76,'Income (North Wales)'!Y76)</f>
        <v>59793.32368671021</v>
      </c>
      <c r="AG76" s="4">
        <f>IF('Tenure Split (WALES)'!$D$8="WG Estimates",'Income (North Wales)'!H76,'Income (North Wales)'!Z76)</f>
        <v>62300.924444337143</v>
      </c>
    </row>
    <row r="77" spans="2:33" x14ac:dyDescent="0.25">
      <c r="B77" s="20">
        <v>83</v>
      </c>
      <c r="C77" s="58">
        <v>53053</v>
      </c>
      <c r="D77" s="59">
        <f>C77*(1+'Tenure Split (North Wales)'!C$109)+(C$44*(-(50-$B77)*('Tenure Split (North Wales)'!C$110/40)))</f>
        <v>55139.96147103019</v>
      </c>
      <c r="E77" s="59">
        <f>D77*(1+'Tenure Split (North Wales)'!D$109)+(D$44*(-(50-$B77)*('Tenure Split (North Wales)'!D$110/40)))</f>
        <v>56775.194291602682</v>
      </c>
      <c r="F77" s="59">
        <f>E77*(1+'Tenure Split (North Wales)'!E$109)+(E$44*(-(50-$B77)*('Tenure Split (North Wales)'!E$110/40)))</f>
        <v>58860.702854864699</v>
      </c>
      <c r="G77" s="59">
        <f>F77*(1+'Tenure Split (North Wales)'!F$109)+(F$44*(-(50-$B77)*('Tenure Split (North Wales)'!F$110/40)))</f>
        <v>61274.032131295251</v>
      </c>
      <c r="H77" s="60">
        <f>G77*(1+'Tenure Split (North Wales)'!G$109)+(G$44*(-(50-$B77)*('Tenure Split (North Wales)'!G$110/40)))</f>
        <v>63845.23362946108</v>
      </c>
      <c r="L77" s="64" t="str">
        <f t="shared" si="4"/>
        <v/>
      </c>
      <c r="M77" s="251"/>
      <c r="N77" s="37">
        <f t="shared" si="7"/>
        <v>1</v>
      </c>
      <c r="T77" s="1">
        <f t="shared" si="5"/>
        <v>83</v>
      </c>
      <c r="U77" s="4" t="str">
        <f t="shared" si="6"/>
        <v/>
      </c>
      <c r="V77" s="4" t="e">
        <f>IF($V$3=$M$3,M77,U77*(1+'Tenure Split (North Wales)'!C$109)+(U$44*(-(50-$T77)*('Tenure Split (North Wales)'!C$110/40))))</f>
        <v>#VALUE!</v>
      </c>
      <c r="W77" s="4" t="e">
        <f>V77*(1+'Tenure Split (North Wales)'!D$109)+(V$44*(-(50-$T77)*('Tenure Split (North Wales)'!D$110/40)))</f>
        <v>#VALUE!</v>
      </c>
      <c r="X77" s="4" t="e">
        <f>W77*(1+'Tenure Split (North Wales)'!E$109)+(W$44*(-(50-$T77)*('Tenure Split (North Wales)'!E$110/40)))</f>
        <v>#VALUE!</v>
      </c>
      <c r="Y77" s="4" t="e">
        <f>X77*(1+'Tenure Split (North Wales)'!F$109)+(X$44*(-(50-$T77)*('Tenure Split (North Wales)'!F$110/40)))</f>
        <v>#VALUE!</v>
      </c>
      <c r="Z77" s="4" t="e">
        <f>Y77*(1+'Tenure Split (North Wales)'!G$109)+(Y$44*(-(50-$T77)*('Tenure Split (North Wales)'!G$110/40)))</f>
        <v>#VALUE!</v>
      </c>
      <c r="AB77" s="1">
        <v>83</v>
      </c>
      <c r="AC77" s="4">
        <f>IF('Tenure Split (WALES)'!$D$8="WG Estimates",'Income (North Wales)'!D77,'Income (North Wales)'!V77)</f>
        <v>55139.96147103019</v>
      </c>
      <c r="AD77" s="4">
        <f>IF('Tenure Split (WALES)'!$D$8="WG Estimates",'Income (North Wales)'!E77,'Income (North Wales)'!W77)</f>
        <v>56775.194291602682</v>
      </c>
      <c r="AE77" s="4">
        <f>IF('Tenure Split (WALES)'!$D$8="WG Estimates",'Income (North Wales)'!F77,'Income (North Wales)'!X77)</f>
        <v>58860.702854864699</v>
      </c>
      <c r="AF77" s="4">
        <f>IF('Tenure Split (WALES)'!$D$8="WG Estimates",'Income (North Wales)'!G77,'Income (North Wales)'!Y77)</f>
        <v>61274.032131295251</v>
      </c>
      <c r="AG77" s="4">
        <f>IF('Tenure Split (WALES)'!$D$8="WG Estimates",'Income (North Wales)'!H77,'Income (North Wales)'!Z77)</f>
        <v>63845.23362946108</v>
      </c>
    </row>
    <row r="78" spans="2:33" x14ac:dyDescent="0.25">
      <c r="B78" s="20">
        <v>84</v>
      </c>
      <c r="C78" s="58">
        <v>54624.800000000003</v>
      </c>
      <c r="D78" s="59">
        <f>C78*(1+'Tenure Split (North Wales)'!C$109)+(C$44*(-(50-$B78)*('Tenure Split (North Wales)'!C$110/40)))</f>
        <v>56773.733859654123</v>
      </c>
      <c r="E78" s="59">
        <f>D78*(1+'Tenure Split (North Wales)'!D$109)+(D$44*(-(50-$B78)*('Tenure Split (North Wales)'!D$110/40)))</f>
        <v>58457.564390985019</v>
      </c>
      <c r="F78" s="59">
        <f>E78*(1+'Tenure Split (North Wales)'!E$109)+(E$44*(-(50-$B78)*('Tenure Split (North Wales)'!E$110/40)))</f>
        <v>60605.020705780589</v>
      </c>
      <c r="G78" s="59">
        <f>F78*(1+'Tenure Split (North Wales)'!F$109)+(F$44*(-(50-$B78)*('Tenure Split (North Wales)'!F$110/40)))</f>
        <v>63090.02222196239</v>
      </c>
      <c r="H78" s="60">
        <f>G78*(1+'Tenure Split (North Wales)'!G$109)+(G$44*(-(50-$B78)*('Tenure Split (North Wales)'!G$110/40)))</f>
        <v>65737.586025470053</v>
      </c>
      <c r="L78" s="64" t="str">
        <f t="shared" si="4"/>
        <v/>
      </c>
      <c r="M78" s="251"/>
      <c r="N78" s="37">
        <f t="shared" si="7"/>
        <v>1</v>
      </c>
      <c r="T78" s="1">
        <f t="shared" si="5"/>
        <v>84</v>
      </c>
      <c r="U78" s="4" t="str">
        <f t="shared" si="6"/>
        <v/>
      </c>
      <c r="V78" s="4" t="e">
        <f>IF($V$3=$M$3,M78,U78*(1+'Tenure Split (North Wales)'!C$109)+(U$44*(-(50-$T78)*('Tenure Split (North Wales)'!C$110/40))))</f>
        <v>#VALUE!</v>
      </c>
      <c r="W78" s="4" t="e">
        <f>V78*(1+'Tenure Split (North Wales)'!D$109)+(V$44*(-(50-$T78)*('Tenure Split (North Wales)'!D$110/40)))</f>
        <v>#VALUE!</v>
      </c>
      <c r="X78" s="4" t="e">
        <f>W78*(1+'Tenure Split (North Wales)'!E$109)+(W$44*(-(50-$T78)*('Tenure Split (North Wales)'!E$110/40)))</f>
        <v>#VALUE!</v>
      </c>
      <c r="Y78" s="4" t="e">
        <f>X78*(1+'Tenure Split (North Wales)'!F$109)+(X$44*(-(50-$T78)*('Tenure Split (North Wales)'!F$110/40)))</f>
        <v>#VALUE!</v>
      </c>
      <c r="Z78" s="4" t="e">
        <f>Y78*(1+'Tenure Split (North Wales)'!G$109)+(Y$44*(-(50-$T78)*('Tenure Split (North Wales)'!G$110/40)))</f>
        <v>#VALUE!</v>
      </c>
      <c r="AB78" s="1">
        <v>84</v>
      </c>
      <c r="AC78" s="4">
        <f>IF('Tenure Split (WALES)'!$D$8="WG Estimates",'Income (North Wales)'!D78,'Income (North Wales)'!V78)</f>
        <v>56773.733859654123</v>
      </c>
      <c r="AD78" s="4">
        <f>IF('Tenure Split (WALES)'!$D$8="WG Estimates",'Income (North Wales)'!E78,'Income (North Wales)'!W78)</f>
        <v>58457.564390985019</v>
      </c>
      <c r="AE78" s="4">
        <f>IF('Tenure Split (WALES)'!$D$8="WG Estimates",'Income (North Wales)'!F78,'Income (North Wales)'!X78)</f>
        <v>60605.020705780589</v>
      </c>
      <c r="AF78" s="4">
        <f>IF('Tenure Split (WALES)'!$D$8="WG Estimates",'Income (North Wales)'!G78,'Income (North Wales)'!Y78)</f>
        <v>63090.02222196239</v>
      </c>
      <c r="AG78" s="4">
        <f>IF('Tenure Split (WALES)'!$D$8="WG Estimates",'Income (North Wales)'!H78,'Income (North Wales)'!Z78)</f>
        <v>65737.586025470053</v>
      </c>
    </row>
    <row r="79" spans="2:33" x14ac:dyDescent="0.25">
      <c r="B79" s="20">
        <v>85</v>
      </c>
      <c r="C79" s="58">
        <v>56814</v>
      </c>
      <c r="D79" s="59">
        <f>C79*(1+'Tenure Split (North Wales)'!C$109)+(C$44*(-(50-$B79)*('Tenure Split (North Wales)'!C$110/40)))</f>
        <v>59046.748231982347</v>
      </c>
      <c r="E79" s="59">
        <f>D79*(1+'Tenure Split (North Wales)'!D$109)+(D$44*(-(50-$B79)*('Tenure Split (North Wales)'!D$110/40)))</f>
        <v>60795.612149035784</v>
      </c>
      <c r="F79" s="59">
        <f>E79*(1+'Tenure Split (North Wales)'!E$109)+(E$44*(-(50-$B79)*('Tenure Split (North Wales)'!E$110/40)))</f>
        <v>63026.524417175606</v>
      </c>
      <c r="G79" s="59">
        <f>F79*(1+'Tenure Split (North Wales)'!F$109)+(F$44*(-(50-$B79)*('Tenure Split (North Wales)'!F$110/40)))</f>
        <v>65608.312188086944</v>
      </c>
      <c r="H79" s="60">
        <f>G79*(1+'Tenure Split (North Wales)'!G$109)+(G$44*(-(50-$B79)*('Tenure Split (North Wales)'!G$110/40)))</f>
        <v>68358.969391454928</v>
      </c>
      <c r="L79" s="64" t="str">
        <f t="shared" si="4"/>
        <v/>
      </c>
      <c r="M79" s="251"/>
      <c r="N79" s="37">
        <f t="shared" si="7"/>
        <v>1</v>
      </c>
      <c r="T79" s="1">
        <f t="shared" si="5"/>
        <v>85</v>
      </c>
      <c r="U79" s="4" t="str">
        <f t="shared" si="6"/>
        <v/>
      </c>
      <c r="V79" s="4" t="e">
        <f>IF($V$3=$M$3,M79,U79*(1+'Tenure Split (North Wales)'!C$109)+(U$44*(-(50-$T79)*('Tenure Split (North Wales)'!C$110/40))))</f>
        <v>#VALUE!</v>
      </c>
      <c r="W79" s="4" t="e">
        <f>V79*(1+'Tenure Split (North Wales)'!D$109)+(V$44*(-(50-$T79)*('Tenure Split (North Wales)'!D$110/40)))</f>
        <v>#VALUE!</v>
      </c>
      <c r="X79" s="4" t="e">
        <f>W79*(1+'Tenure Split (North Wales)'!E$109)+(W$44*(-(50-$T79)*('Tenure Split (North Wales)'!E$110/40)))</f>
        <v>#VALUE!</v>
      </c>
      <c r="Y79" s="4" t="e">
        <f>X79*(1+'Tenure Split (North Wales)'!F$109)+(X$44*(-(50-$T79)*('Tenure Split (North Wales)'!F$110/40)))</f>
        <v>#VALUE!</v>
      </c>
      <c r="Z79" s="4" t="e">
        <f>Y79*(1+'Tenure Split (North Wales)'!G$109)+(Y$44*(-(50-$T79)*('Tenure Split (North Wales)'!G$110/40)))</f>
        <v>#VALUE!</v>
      </c>
      <c r="AB79" s="1">
        <v>85</v>
      </c>
      <c r="AC79" s="4">
        <f>IF('Tenure Split (WALES)'!$D$8="WG Estimates",'Income (North Wales)'!D79,'Income (North Wales)'!V79)</f>
        <v>59046.748231982347</v>
      </c>
      <c r="AD79" s="4">
        <f>IF('Tenure Split (WALES)'!$D$8="WG Estimates",'Income (North Wales)'!E79,'Income (North Wales)'!W79)</f>
        <v>60795.612149035784</v>
      </c>
      <c r="AE79" s="4">
        <f>IF('Tenure Split (WALES)'!$D$8="WG Estimates",'Income (North Wales)'!F79,'Income (North Wales)'!X79)</f>
        <v>63026.524417175606</v>
      </c>
      <c r="AF79" s="4">
        <f>IF('Tenure Split (WALES)'!$D$8="WG Estimates",'Income (North Wales)'!G79,'Income (North Wales)'!Y79)</f>
        <v>65608.312188086944</v>
      </c>
      <c r="AG79" s="4">
        <f>IF('Tenure Split (WALES)'!$D$8="WG Estimates",'Income (North Wales)'!H79,'Income (North Wales)'!Z79)</f>
        <v>68358.969391454928</v>
      </c>
    </row>
    <row r="80" spans="2:33" x14ac:dyDescent="0.25">
      <c r="B80" s="20">
        <v>86</v>
      </c>
      <c r="C80" s="58">
        <v>58237.5</v>
      </c>
      <c r="D80" s="59">
        <f>C80*(1+'Tenure Split (North Wales)'!C$109)+(C$44*(-(50-$B80)*('Tenure Split (North Wales)'!C$110/40)))</f>
        <v>60526.974157724268</v>
      </c>
      <c r="E80" s="59">
        <f>D80*(1+'Tenure Split (North Wales)'!D$109)+(D$44*(-(50-$B80)*('Tenure Split (North Wales)'!D$110/40)))</f>
        <v>62320.487922566921</v>
      </c>
      <c r="F80" s="59">
        <f>E80*(1+'Tenure Split (North Wales)'!E$109)+(E$44*(-(50-$B80)*('Tenure Split (North Wales)'!E$110/40)))</f>
        <v>64608.181654050255</v>
      </c>
      <c r="G80" s="59">
        <f>F80*(1+'Tenure Split (North Wales)'!F$109)+(F$44*(-(50-$B80)*('Tenure Split (North Wales)'!F$110/40)))</f>
        <v>67255.609257163</v>
      </c>
      <c r="H80" s="60">
        <f>G80*(1+'Tenure Split (North Wales)'!G$109)+(G$44*(-(50-$B80)*('Tenure Split (North Wales)'!G$110/40)))</f>
        <v>70076.207934455437</v>
      </c>
      <c r="L80" s="64" t="str">
        <f t="shared" si="4"/>
        <v/>
      </c>
      <c r="M80" s="251"/>
      <c r="N80" s="37">
        <f t="shared" si="7"/>
        <v>1</v>
      </c>
      <c r="T80" s="1">
        <f t="shared" si="5"/>
        <v>86</v>
      </c>
      <c r="U80" s="4" t="str">
        <f t="shared" si="6"/>
        <v/>
      </c>
      <c r="V80" s="4" t="e">
        <f>IF($V$3=$M$3,M80,U80*(1+'Tenure Split (North Wales)'!C$109)+(U$44*(-(50-$T80)*('Tenure Split (North Wales)'!C$110/40))))</f>
        <v>#VALUE!</v>
      </c>
      <c r="W80" s="4" t="e">
        <f>V80*(1+'Tenure Split (North Wales)'!D$109)+(V$44*(-(50-$T80)*('Tenure Split (North Wales)'!D$110/40)))</f>
        <v>#VALUE!</v>
      </c>
      <c r="X80" s="4" t="e">
        <f>W80*(1+'Tenure Split (North Wales)'!E$109)+(W$44*(-(50-$T80)*('Tenure Split (North Wales)'!E$110/40)))</f>
        <v>#VALUE!</v>
      </c>
      <c r="Y80" s="4" t="e">
        <f>X80*(1+'Tenure Split (North Wales)'!F$109)+(X$44*(-(50-$T80)*('Tenure Split (North Wales)'!F$110/40)))</f>
        <v>#VALUE!</v>
      </c>
      <c r="Z80" s="4" t="e">
        <f>Y80*(1+'Tenure Split (North Wales)'!G$109)+(Y$44*(-(50-$T80)*('Tenure Split (North Wales)'!G$110/40)))</f>
        <v>#VALUE!</v>
      </c>
      <c r="AB80" s="1">
        <v>86</v>
      </c>
      <c r="AC80" s="4">
        <f>IF('Tenure Split (WALES)'!$D$8="WG Estimates",'Income (North Wales)'!D80,'Income (North Wales)'!V80)</f>
        <v>60526.974157724268</v>
      </c>
      <c r="AD80" s="4">
        <f>IF('Tenure Split (WALES)'!$D$8="WG Estimates",'Income (North Wales)'!E80,'Income (North Wales)'!W80)</f>
        <v>62320.487922566921</v>
      </c>
      <c r="AE80" s="4">
        <f>IF('Tenure Split (WALES)'!$D$8="WG Estimates",'Income (North Wales)'!F80,'Income (North Wales)'!X80)</f>
        <v>64608.181654050255</v>
      </c>
      <c r="AF80" s="4">
        <f>IF('Tenure Split (WALES)'!$D$8="WG Estimates",'Income (North Wales)'!G80,'Income (North Wales)'!Y80)</f>
        <v>67255.609257163</v>
      </c>
      <c r="AG80" s="4">
        <f>IF('Tenure Split (WALES)'!$D$8="WG Estimates",'Income (North Wales)'!H80,'Income (North Wales)'!Z80)</f>
        <v>70076.207934455437</v>
      </c>
    </row>
    <row r="81" spans="2:33" x14ac:dyDescent="0.25">
      <c r="B81" s="20">
        <v>87</v>
      </c>
      <c r="C81" s="58">
        <v>59269.75</v>
      </c>
      <c r="D81" s="59">
        <f>C81*(1+'Tenure Split (North Wales)'!C$109)+(C$44*(-(50-$B81)*('Tenure Split (North Wales)'!C$110/40)))</f>
        <v>61602.108690326735</v>
      </c>
      <c r="E81" s="59">
        <f>D81*(1+'Tenure Split (North Wales)'!D$109)+(D$44*(-(50-$B81)*('Tenure Split (North Wales)'!D$110/40)))</f>
        <v>63429.856919366561</v>
      </c>
      <c r="F81" s="59">
        <f>E81*(1+'Tenure Split (North Wales)'!E$109)+(E$44*(-(50-$B81)*('Tenure Split (North Wales)'!E$110/40)))</f>
        <v>65760.702240596976</v>
      </c>
      <c r="G81" s="59">
        <f>F81*(1+'Tenure Split (North Wales)'!F$109)+(F$44*(-(50-$B81)*('Tenure Split (North Wales)'!F$110/40)))</f>
        <v>68457.854777368411</v>
      </c>
      <c r="H81" s="60">
        <f>G81*(1+'Tenure Split (North Wales)'!G$109)+(G$44*(-(50-$B81)*('Tenure Split (North Wales)'!G$110/40)))</f>
        <v>71331.455277256551</v>
      </c>
      <c r="L81" s="64" t="str">
        <f t="shared" si="4"/>
        <v/>
      </c>
      <c r="M81" s="251"/>
      <c r="N81" s="37">
        <f t="shared" si="7"/>
        <v>1</v>
      </c>
      <c r="T81" s="1">
        <f t="shared" si="5"/>
        <v>87</v>
      </c>
      <c r="U81" s="4" t="str">
        <f t="shared" si="6"/>
        <v/>
      </c>
      <c r="V81" s="4" t="e">
        <f>IF($V$3=$M$3,M81,U81*(1+'Tenure Split (North Wales)'!C$109)+(U$44*(-(50-$T81)*('Tenure Split (North Wales)'!C$110/40))))</f>
        <v>#VALUE!</v>
      </c>
      <c r="W81" s="4" t="e">
        <f>V81*(1+'Tenure Split (North Wales)'!D$109)+(V$44*(-(50-$T81)*('Tenure Split (North Wales)'!D$110/40)))</f>
        <v>#VALUE!</v>
      </c>
      <c r="X81" s="4" t="e">
        <f>W81*(1+'Tenure Split (North Wales)'!E$109)+(W$44*(-(50-$T81)*('Tenure Split (North Wales)'!E$110/40)))</f>
        <v>#VALUE!</v>
      </c>
      <c r="Y81" s="4" t="e">
        <f>X81*(1+'Tenure Split (North Wales)'!F$109)+(X$44*(-(50-$T81)*('Tenure Split (North Wales)'!F$110/40)))</f>
        <v>#VALUE!</v>
      </c>
      <c r="Z81" s="4" t="e">
        <f>Y81*(1+'Tenure Split (North Wales)'!G$109)+(Y$44*(-(50-$T81)*('Tenure Split (North Wales)'!G$110/40)))</f>
        <v>#VALUE!</v>
      </c>
      <c r="AB81" s="1">
        <v>87</v>
      </c>
      <c r="AC81" s="4">
        <f>IF('Tenure Split (WALES)'!$D$8="WG Estimates",'Income (North Wales)'!D81,'Income (North Wales)'!V81)</f>
        <v>61602.108690326735</v>
      </c>
      <c r="AD81" s="4">
        <f>IF('Tenure Split (WALES)'!$D$8="WG Estimates",'Income (North Wales)'!E81,'Income (North Wales)'!W81)</f>
        <v>63429.856919366561</v>
      </c>
      <c r="AE81" s="4">
        <f>IF('Tenure Split (WALES)'!$D$8="WG Estimates",'Income (North Wales)'!F81,'Income (North Wales)'!X81)</f>
        <v>65760.702240596976</v>
      </c>
      <c r="AF81" s="4">
        <f>IF('Tenure Split (WALES)'!$D$8="WG Estimates",'Income (North Wales)'!G81,'Income (North Wales)'!Y81)</f>
        <v>68457.854777368411</v>
      </c>
      <c r="AG81" s="4">
        <f>IF('Tenure Split (WALES)'!$D$8="WG Estimates",'Income (North Wales)'!H81,'Income (North Wales)'!Z81)</f>
        <v>71331.455277256551</v>
      </c>
    </row>
    <row r="82" spans="2:33" x14ac:dyDescent="0.25">
      <c r="B82" s="20">
        <v>88</v>
      </c>
      <c r="C82" s="58">
        <v>60867.65</v>
      </c>
      <c r="D82" s="59">
        <f>C82*(1+'Tenure Split (North Wales)'!C$109)+(C$44*(-(50-$B82)*('Tenure Split (North Wales)'!C$110/40)))</f>
        <v>63262.90442811601</v>
      </c>
      <c r="E82" s="59">
        <f>D82*(1+'Tenure Split (North Wales)'!D$109)+(D$44*(-(50-$B82)*('Tenure Split (North Wales)'!D$110/40)))</f>
        <v>65139.945170500185</v>
      </c>
      <c r="F82" s="59">
        <f>E82*(1+'Tenure Split (North Wales)'!E$109)+(E$44*(-(50-$B82)*('Tenure Split (North Wales)'!E$110/40)))</f>
        <v>67533.647482116197</v>
      </c>
      <c r="G82" s="59">
        <f>F82*(1+'Tenure Split (North Wales)'!F$109)+(F$44*(-(50-$B82)*('Tenure Split (North Wales)'!F$110/40)))</f>
        <v>70303.533929826008</v>
      </c>
      <c r="H82" s="60">
        <f>G82*(1+'Tenure Split (North Wales)'!G$109)+(G$44*(-(50-$B82)*('Tenure Split (North Wales)'!G$110/40)))</f>
        <v>73254.626766748435</v>
      </c>
      <c r="L82" s="64" t="str">
        <f t="shared" si="4"/>
        <v/>
      </c>
      <c r="M82" s="251"/>
      <c r="N82" s="37">
        <f t="shared" si="7"/>
        <v>1</v>
      </c>
      <c r="T82" s="1">
        <f t="shared" si="5"/>
        <v>88</v>
      </c>
      <c r="U82" s="4" t="str">
        <f t="shared" si="6"/>
        <v/>
      </c>
      <c r="V82" s="4" t="e">
        <f>IF($V$3=$M$3,M82,U82*(1+'Tenure Split (North Wales)'!C$109)+(U$44*(-(50-$T82)*('Tenure Split (North Wales)'!C$110/40))))</f>
        <v>#VALUE!</v>
      </c>
      <c r="W82" s="4" t="e">
        <f>V82*(1+'Tenure Split (North Wales)'!D$109)+(V$44*(-(50-$T82)*('Tenure Split (North Wales)'!D$110/40)))</f>
        <v>#VALUE!</v>
      </c>
      <c r="X82" s="4" t="e">
        <f>W82*(1+'Tenure Split (North Wales)'!E$109)+(W$44*(-(50-$T82)*('Tenure Split (North Wales)'!E$110/40)))</f>
        <v>#VALUE!</v>
      </c>
      <c r="Y82" s="4" t="e">
        <f>X82*(1+'Tenure Split (North Wales)'!F$109)+(X$44*(-(50-$T82)*('Tenure Split (North Wales)'!F$110/40)))</f>
        <v>#VALUE!</v>
      </c>
      <c r="Z82" s="4" t="e">
        <f>Y82*(1+'Tenure Split (North Wales)'!G$109)+(Y$44*(-(50-$T82)*('Tenure Split (North Wales)'!G$110/40)))</f>
        <v>#VALUE!</v>
      </c>
      <c r="AB82" s="1">
        <v>88</v>
      </c>
      <c r="AC82" s="4">
        <f>IF('Tenure Split (WALES)'!$D$8="WG Estimates",'Income (North Wales)'!D82,'Income (North Wales)'!V82)</f>
        <v>63262.90442811601</v>
      </c>
      <c r="AD82" s="4">
        <f>IF('Tenure Split (WALES)'!$D$8="WG Estimates",'Income (North Wales)'!E82,'Income (North Wales)'!W82)</f>
        <v>65139.945170500185</v>
      </c>
      <c r="AE82" s="4">
        <f>IF('Tenure Split (WALES)'!$D$8="WG Estimates",'Income (North Wales)'!F82,'Income (North Wales)'!X82)</f>
        <v>67533.647482116197</v>
      </c>
      <c r="AF82" s="4">
        <f>IF('Tenure Split (WALES)'!$D$8="WG Estimates",'Income (North Wales)'!G82,'Income (North Wales)'!Y82)</f>
        <v>70303.533929826008</v>
      </c>
      <c r="AG82" s="4">
        <f>IF('Tenure Split (WALES)'!$D$8="WG Estimates",'Income (North Wales)'!H82,'Income (North Wales)'!Z82)</f>
        <v>73254.626766748435</v>
      </c>
    </row>
    <row r="83" spans="2:33" x14ac:dyDescent="0.25">
      <c r="B83" s="20">
        <v>89</v>
      </c>
      <c r="C83" s="58">
        <v>63632.5</v>
      </c>
      <c r="D83" s="59">
        <f>C83*(1+'Tenure Split (North Wales)'!C$109)+(C$44*(-(50-$B83)*('Tenure Split (North Wales)'!C$110/40)))</f>
        <v>66131.933779257612</v>
      </c>
      <c r="E83" s="59">
        <f>D83*(1+'Tenure Split (North Wales)'!D$109)+(D$44*(-(50-$B83)*('Tenure Split (North Wales)'!D$110/40)))</f>
        <v>68089.332164398846</v>
      </c>
      <c r="F83" s="59">
        <f>E83*(1+'Tenure Split (North Wales)'!E$109)+(E$44*(-(50-$B83)*('Tenure Split (North Wales)'!E$110/40)))</f>
        <v>70586.544197373922</v>
      </c>
      <c r="G83" s="59">
        <f>F83*(1+'Tenure Split (North Wales)'!F$109)+(F$44*(-(50-$B83)*('Tenure Split (North Wales)'!F$110/40)))</f>
        <v>73476.632647662744</v>
      </c>
      <c r="H83" s="60">
        <f>G83*(1+'Tenure Split (North Wales)'!G$109)+(G$44*(-(50-$B83)*('Tenure Split (North Wales)'!G$110/40)))</f>
        <v>76555.742361218392</v>
      </c>
      <c r="L83" s="64" t="str">
        <f t="shared" si="4"/>
        <v/>
      </c>
      <c r="M83" s="251"/>
      <c r="N83" s="37">
        <f t="shared" si="7"/>
        <v>1</v>
      </c>
      <c r="T83" s="1">
        <f t="shared" si="5"/>
        <v>89</v>
      </c>
      <c r="U83" s="4" t="str">
        <f t="shared" si="6"/>
        <v/>
      </c>
      <c r="V83" s="4" t="e">
        <f>IF($V$3=$M$3,M83,U83*(1+'Tenure Split (North Wales)'!C$109)+(U$44*(-(50-$T83)*('Tenure Split (North Wales)'!C$110/40))))</f>
        <v>#VALUE!</v>
      </c>
      <c r="W83" s="4" t="e">
        <f>V83*(1+'Tenure Split (North Wales)'!D$109)+(V$44*(-(50-$T83)*('Tenure Split (North Wales)'!D$110/40)))</f>
        <v>#VALUE!</v>
      </c>
      <c r="X83" s="4" t="e">
        <f>W83*(1+'Tenure Split (North Wales)'!E$109)+(W$44*(-(50-$T83)*('Tenure Split (North Wales)'!E$110/40)))</f>
        <v>#VALUE!</v>
      </c>
      <c r="Y83" s="4" t="e">
        <f>X83*(1+'Tenure Split (North Wales)'!F$109)+(X$44*(-(50-$T83)*('Tenure Split (North Wales)'!F$110/40)))</f>
        <v>#VALUE!</v>
      </c>
      <c r="Z83" s="4" t="e">
        <f>Y83*(1+'Tenure Split (North Wales)'!G$109)+(Y$44*(-(50-$T83)*('Tenure Split (North Wales)'!G$110/40)))</f>
        <v>#VALUE!</v>
      </c>
      <c r="AB83" s="1">
        <v>89</v>
      </c>
      <c r="AC83" s="4">
        <f>IF('Tenure Split (WALES)'!$D$8="WG Estimates",'Income (North Wales)'!D83,'Income (North Wales)'!V83)</f>
        <v>66131.933779257612</v>
      </c>
      <c r="AD83" s="4">
        <f>IF('Tenure Split (WALES)'!$D$8="WG Estimates",'Income (North Wales)'!E83,'Income (North Wales)'!W83)</f>
        <v>68089.332164398846</v>
      </c>
      <c r="AE83" s="4">
        <f>IF('Tenure Split (WALES)'!$D$8="WG Estimates",'Income (North Wales)'!F83,'Income (North Wales)'!X83)</f>
        <v>70586.544197373922</v>
      </c>
      <c r="AF83" s="4">
        <f>IF('Tenure Split (WALES)'!$D$8="WG Estimates",'Income (North Wales)'!G83,'Income (North Wales)'!Y83)</f>
        <v>73476.632647662744</v>
      </c>
      <c r="AG83" s="4">
        <f>IF('Tenure Split (WALES)'!$D$8="WG Estimates",'Income (North Wales)'!H83,'Income (North Wales)'!Z83)</f>
        <v>76555.742361218392</v>
      </c>
    </row>
    <row r="84" spans="2:33" x14ac:dyDescent="0.25">
      <c r="B84" s="23">
        <v>90</v>
      </c>
      <c r="C84" s="61">
        <v>65350.6</v>
      </c>
      <c r="D84" s="62">
        <f>C84*(1+'Tenure Split (North Wales)'!C$109)+(C$44*(-(50-$B84)*('Tenure Split (North Wales)'!C$110/40)))</f>
        <v>67917.181876038216</v>
      </c>
      <c r="E84" s="62">
        <f>D84*(1+'Tenure Split (North Wales)'!D$109)+(D$44*(-(50-$B84)*('Tenure Split (North Wales)'!D$110/40)))</f>
        <v>69927.072593329591</v>
      </c>
      <c r="F84" s="62">
        <f>E84*(1+'Tenure Split (North Wales)'!E$109)+(E$44*(-(50-$B84)*('Tenure Split (North Wales)'!E$110/40)))</f>
        <v>72491.328992552983</v>
      </c>
      <c r="G84" s="62">
        <f>F84*(1+'Tenure Split (North Wales)'!F$109)+(F$44*(-(50-$B84)*('Tenure Split (North Wales)'!F$110/40)))</f>
        <v>75459.040736028954</v>
      </c>
      <c r="H84" s="63">
        <f>G84*(1+'Tenure Split (North Wales)'!G$109)+(G$44*(-(50-$B84)*('Tenure Split (North Wales)'!G$110/40)))</f>
        <v>78620.846993876956</v>
      </c>
      <c r="L84" s="65" t="str">
        <f t="shared" si="4"/>
        <v/>
      </c>
      <c r="M84" s="253"/>
      <c r="N84" s="37">
        <f t="shared" si="7"/>
        <v>1</v>
      </c>
      <c r="T84" s="1">
        <f t="shared" si="5"/>
        <v>90</v>
      </c>
      <c r="U84" s="4" t="str">
        <f t="shared" si="6"/>
        <v/>
      </c>
      <c r="V84" s="4" t="e">
        <f>IF($V$3=$M$3,M84,U84*(1+'Tenure Split (North Wales)'!C$109)+(U$44*(-(50-$T84)*('Tenure Split (North Wales)'!C$110/40))))</f>
        <v>#VALUE!</v>
      </c>
      <c r="W84" s="4" t="e">
        <f>V84*(1+'Tenure Split (North Wales)'!D$109)+(V$44*(-(50-$T84)*('Tenure Split (North Wales)'!D$110/40)))</f>
        <v>#VALUE!</v>
      </c>
      <c r="X84" s="4" t="e">
        <f>W84*(1+'Tenure Split (North Wales)'!E$109)+(W$44*(-(50-$T84)*('Tenure Split (North Wales)'!E$110/40)))</f>
        <v>#VALUE!</v>
      </c>
      <c r="Y84" s="4" t="e">
        <f>X84*(1+'Tenure Split (North Wales)'!F$109)+(X$44*(-(50-$T84)*('Tenure Split (North Wales)'!F$110/40)))</f>
        <v>#VALUE!</v>
      </c>
      <c r="Z84" s="4" t="e">
        <f>Y84*(1+'Tenure Split (North Wales)'!G$109)+(Y$44*(-(50-$T84)*('Tenure Split (North Wales)'!G$110/40)))</f>
        <v>#VALUE!</v>
      </c>
      <c r="AB84" s="1">
        <v>90</v>
      </c>
      <c r="AC84" s="4">
        <f>IF('Tenure Split (WALES)'!$D$8="WG Estimates",'Income (North Wales)'!D84,'Income (North Wales)'!V84)</f>
        <v>67917.181876038216</v>
      </c>
      <c r="AD84" s="4">
        <f>IF('Tenure Split (WALES)'!$D$8="WG Estimates",'Income (North Wales)'!E84,'Income (North Wales)'!W84)</f>
        <v>69927.072593329591</v>
      </c>
      <c r="AE84" s="4">
        <f>IF('Tenure Split (WALES)'!$D$8="WG Estimates",'Income (North Wales)'!F84,'Income (North Wales)'!X84)</f>
        <v>72491.328992552983</v>
      </c>
      <c r="AF84" s="4">
        <f>IF('Tenure Split (WALES)'!$D$8="WG Estimates",'Income (North Wales)'!G84,'Income (North Wales)'!Y84)</f>
        <v>75459.040736028954</v>
      </c>
      <c r="AG84" s="4">
        <f>IF('Tenure Split (WALES)'!$D$8="WG Estimates",'Income (North Wales)'!H84,'Income (North Wales)'!Z84)</f>
        <v>78620.846993876956</v>
      </c>
    </row>
    <row r="85" spans="2:33" x14ac:dyDescent="0.25">
      <c r="N85" s="37">
        <f>IF(SUM(N4:N84)&gt;0,1,0)</f>
        <v>1</v>
      </c>
    </row>
  </sheetData>
  <sheetProtection sheet="1" objects="1" scenarios="1"/>
  <mergeCells count="3">
    <mergeCell ref="B2:H2"/>
    <mergeCell ref="J2:M2"/>
    <mergeCell ref="J9:J10"/>
  </mergeCells>
  <dataValidations count="2">
    <dataValidation type="list" allowBlank="1" showInputMessage="1" showErrorMessage="1" sqref="K4">
      <formula1>"2017,2018"</formula1>
    </dataValidation>
    <dataValidation type="decimal" operator="greaterThan" allowBlank="1" showInputMessage="1" showErrorMessage="1" sqref="M4:M84">
      <formula1>0</formula1>
    </dataValidation>
  </dataValidations>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85"/>
  <sheetViews>
    <sheetView showGridLines="0" workbookViewId="0"/>
  </sheetViews>
  <sheetFormatPr defaultColWidth="9.140625" defaultRowHeight="15" x14ac:dyDescent="0.25"/>
  <cols>
    <col min="1" max="1" width="2.140625" style="1" customWidth="1"/>
    <col min="2" max="2" width="10.140625" style="1" bestFit="1" customWidth="1"/>
    <col min="3" max="3" width="9.140625" style="1"/>
    <col min="4" max="8" width="10.140625" style="1" bestFit="1" customWidth="1"/>
    <col min="9" max="9" width="9.140625" style="1"/>
    <col min="10" max="10" width="53.85546875" style="1" customWidth="1"/>
    <col min="11" max="11" width="9.140625" style="1"/>
    <col min="12" max="12" width="10.140625" style="1" customWidth="1"/>
    <col min="13" max="13" width="9.140625" style="1"/>
    <col min="14" max="14" width="9.140625" style="1" hidden="1" customWidth="1"/>
    <col min="15" max="19" width="9.140625" style="1"/>
    <col min="20" max="20" width="9.140625" style="1" hidden="1" customWidth="1"/>
    <col min="21" max="26" width="10.140625" style="1" hidden="1" customWidth="1"/>
    <col min="27" max="28" width="9.140625" style="1" customWidth="1"/>
    <col min="29" max="29" width="10.140625" style="1" customWidth="1"/>
    <col min="30" max="33" width="9.140625" style="1" customWidth="1"/>
    <col min="34" max="16384" width="9.140625" style="1"/>
  </cols>
  <sheetData>
    <row r="1" spans="2:33" ht="9.75" customHeight="1" x14ac:dyDescent="0.25"/>
    <row r="2" spans="2:33" ht="26.25" customHeight="1" x14ac:dyDescent="0.25">
      <c r="B2" s="430" t="s">
        <v>176</v>
      </c>
      <c r="C2" s="431"/>
      <c r="D2" s="431"/>
      <c r="E2" s="431"/>
      <c r="F2" s="431"/>
      <c r="G2" s="431"/>
      <c r="H2" s="432"/>
      <c r="J2" s="433" t="s">
        <v>177</v>
      </c>
      <c r="K2" s="434"/>
      <c r="L2" s="434"/>
      <c r="M2" s="435"/>
      <c r="N2" s="67"/>
      <c r="U2" s="1" t="s">
        <v>48</v>
      </c>
      <c r="AB2" s="1" t="s">
        <v>81</v>
      </c>
    </row>
    <row r="3" spans="2:33" x14ac:dyDescent="0.25">
      <c r="B3" s="34" t="s">
        <v>46</v>
      </c>
      <c r="C3" s="35">
        <v>2017</v>
      </c>
      <c r="D3" s="35">
        <v>2018</v>
      </c>
      <c r="E3" s="35">
        <v>2019</v>
      </c>
      <c r="F3" s="35">
        <v>2020</v>
      </c>
      <c r="G3" s="35">
        <v>2021</v>
      </c>
      <c r="H3" s="57">
        <v>2022</v>
      </c>
      <c r="L3" s="34" t="s">
        <v>46</v>
      </c>
      <c r="M3" s="66">
        <f>K4</f>
        <v>0</v>
      </c>
      <c r="N3" s="68" t="s">
        <v>80</v>
      </c>
      <c r="U3" s="1">
        <v>2017</v>
      </c>
      <c r="V3" s="1">
        <v>2018</v>
      </c>
      <c r="W3" s="1">
        <v>2019</v>
      </c>
      <c r="X3" s="1">
        <v>2020</v>
      </c>
      <c r="Y3" s="1">
        <v>2021</v>
      </c>
      <c r="Z3" s="1">
        <v>2022</v>
      </c>
      <c r="AC3" s="1">
        <v>2018</v>
      </c>
      <c r="AD3" s="1">
        <v>2019</v>
      </c>
      <c r="AE3" s="1">
        <v>2020</v>
      </c>
      <c r="AF3" s="1">
        <v>2021</v>
      </c>
      <c r="AG3" s="1">
        <v>2022</v>
      </c>
    </row>
    <row r="4" spans="2:33" x14ac:dyDescent="0.25">
      <c r="B4" s="20">
        <v>10</v>
      </c>
      <c r="C4" s="58">
        <v>11700.3424</v>
      </c>
      <c r="D4" s="59">
        <f>C4*(1+'Tenure Split (Mid and SW Wales)'!C$109)+(C$44*(-(50-$B4)*('Tenure Split (Mid and SW Wales)'!C$110/40)))</f>
        <v>11862.069656293308</v>
      </c>
      <c r="E4" s="59">
        <f>D4*(1+'Tenure Split (Mid and SW Wales)'!D$109)+(D$44*(-(50-$B4)*('Tenure Split (Mid and SW Wales)'!D$110/40)))</f>
        <v>11905.935465324417</v>
      </c>
      <c r="F4" s="59">
        <f>E4*(1+'Tenure Split (Mid and SW Wales)'!E$109)+(E$44*(-(50-$B4)*('Tenure Split (Mid and SW Wales)'!E$110/40)))</f>
        <v>12028.650070132333</v>
      </c>
      <c r="G4" s="59">
        <f>F4*(1+'Tenure Split (Mid and SW Wales)'!F$109)+(F$44*(-(50-$B4)*('Tenure Split (Mid and SW Wales)'!F$110/40)))</f>
        <v>12198.12105413417</v>
      </c>
      <c r="H4" s="60">
        <f>G4*(1+'Tenure Split (Mid and SW Wales)'!G$109)+(G$44*(-(50-$B4)*('Tenure Split (Mid and SW Wales)'!G$110/40)))</f>
        <v>12375.528145896107</v>
      </c>
      <c r="I4" s="4"/>
      <c r="J4" s="69" t="str">
        <f>IF('Tenure Split (WALES)'!D8="Other","Choose what year of data you would like to enter:","")</f>
        <v/>
      </c>
      <c r="K4" s="263"/>
      <c r="L4" s="64" t="str">
        <f t="shared" ref="L4:L67" si="0">IF(ISBLANK($K$4),"",B4)</f>
        <v/>
      </c>
      <c r="M4" s="251"/>
      <c r="N4" s="14">
        <f>IF(ISBLANK(M4),1,0)</f>
        <v>1</v>
      </c>
      <c r="O4" s="11" t="str">
        <f>IF(J4="","","&lt;&lt; Enter each percentile data here.")</f>
        <v/>
      </c>
      <c r="T4" s="1">
        <f t="shared" ref="T4:T67" si="1">B4</f>
        <v>10</v>
      </c>
      <c r="U4" s="4" t="str">
        <f t="shared" ref="U4:U67" si="2">IF($M$3=$U$3,M4,"")</f>
        <v/>
      </c>
      <c r="V4" s="4" t="e">
        <f>IF($V$3=$M$3,M4,U4*(1+'Tenure Split (Mid and SW Wales)'!C$109)+(U$44*(-(50-$T4)*('Tenure Split (Mid and SW Wales)'!C$110/40))))</f>
        <v>#VALUE!</v>
      </c>
      <c r="W4" s="4" t="e">
        <f>V4*(1+'Tenure Split (Mid and SW Wales)'!D$109)+(V$44*(-(50-$T4)*('Tenure Split (Mid and SW Wales)'!D$110/40)))</f>
        <v>#VALUE!</v>
      </c>
      <c r="X4" s="4" t="e">
        <f>W4*(1+'Tenure Split (Mid and SW Wales)'!E$109)+(W$44*(-(50-$T4)*('Tenure Split (Mid and SW Wales)'!E$110/40)))</f>
        <v>#VALUE!</v>
      </c>
      <c r="Y4" s="4" t="e">
        <f>X4*(1+'Tenure Split (Mid and SW Wales)'!F$109)+(X$44*(-(50-$T4)*('Tenure Split (Mid and SW Wales)'!F$110/40)))</f>
        <v>#VALUE!</v>
      </c>
      <c r="Z4" s="4" t="e">
        <f>Y4*(1+'Tenure Split (Mid and SW Wales)'!G$109)+(Y$44*(-(50-$T4)*('Tenure Split (Mid and SW Wales)'!G$110/40)))</f>
        <v>#VALUE!</v>
      </c>
      <c r="AB4" s="1">
        <v>10</v>
      </c>
      <c r="AC4" s="4">
        <f>IF('Tenure Split (WALES)'!$D$8="WG Estimates",'Income (Mid and SW Wales)'!D4,'Income (Mid and SW Wales)'!V4)</f>
        <v>11862.069656293308</v>
      </c>
      <c r="AD4" s="4">
        <f>IF('Tenure Split (WALES)'!$D$8="WG Estimates",'Income (Mid and SW Wales)'!E4,'Income (Mid and SW Wales)'!W4)</f>
        <v>11905.935465324417</v>
      </c>
      <c r="AE4" s="4">
        <f>IF('Tenure Split (WALES)'!$D$8="WG Estimates",'Income (Mid and SW Wales)'!F4,'Income (Mid and SW Wales)'!X4)</f>
        <v>12028.650070132333</v>
      </c>
      <c r="AF4" s="4">
        <f>IF('Tenure Split (WALES)'!$D$8="WG Estimates",'Income (Mid and SW Wales)'!G4,'Income (Mid and SW Wales)'!Y4)</f>
        <v>12198.12105413417</v>
      </c>
      <c r="AG4" s="4">
        <f>IF('Tenure Split (WALES)'!$D$8="WG Estimates",'Income (Mid and SW Wales)'!H4,'Income (Mid and SW Wales)'!Z4)</f>
        <v>12375.528145896107</v>
      </c>
    </row>
    <row r="5" spans="2:33" x14ac:dyDescent="0.25">
      <c r="B5" s="20">
        <v>11</v>
      </c>
      <c r="C5" s="58">
        <v>12376</v>
      </c>
      <c r="D5" s="59">
        <f>C5*(1+'Tenure Split (Mid and SW Wales)'!C$109)+(C$44*(-(50-$B5)*('Tenure Split (Mid and SW Wales)'!C$110/40)))</f>
        <v>12567.935240240318</v>
      </c>
      <c r="E5" s="59">
        <f>D5*(1+'Tenure Split (Mid and SW Wales)'!D$109)+(D$44*(-(50-$B5)*('Tenure Split (Mid and SW Wales)'!D$110/40)))</f>
        <v>12636.477750850057</v>
      </c>
      <c r="F5" s="59">
        <f>E5*(1+'Tenure Split (Mid and SW Wales)'!E$109)+(E$44*(-(50-$B5)*('Tenure Split (Mid and SW Wales)'!E$110/40)))</f>
        <v>12789.852241032717</v>
      </c>
      <c r="G5" s="59">
        <f>F5*(1+'Tenure Split (Mid and SW Wales)'!F$109)+(F$44*(-(50-$B5)*('Tenure Split (Mid and SW Wales)'!F$110/40)))</f>
        <v>12994.46860048913</v>
      </c>
      <c r="H5" s="60">
        <f>G5*(1+'Tenure Split (Mid and SW Wales)'!G$109)+(G$44*(-(50-$B5)*('Tenure Split (Mid and SW Wales)'!G$110/40)))</f>
        <v>13209.358463017563</v>
      </c>
      <c r="J5" s="70" t="str">
        <f>IF(J4="","","You only need to enter one year of data (either 2017 or 2018)")</f>
        <v/>
      </c>
      <c r="L5" s="64" t="str">
        <f t="shared" si="0"/>
        <v/>
      </c>
      <c r="M5" s="251"/>
      <c r="N5" s="14">
        <f t="shared" ref="N5:N68" si="3">IF(ISBLANK(M5),1,0)</f>
        <v>1</v>
      </c>
      <c r="T5" s="1">
        <f t="shared" si="1"/>
        <v>11</v>
      </c>
      <c r="U5" s="4" t="str">
        <f t="shared" si="2"/>
        <v/>
      </c>
      <c r="V5" s="4" t="e">
        <f>IF($V$3=$M$3,M5,U5*(1+'Tenure Split (Mid and SW Wales)'!C$109)+(U$44*(-(50-$T5)*('Tenure Split (Mid and SW Wales)'!C$110/40))))</f>
        <v>#VALUE!</v>
      </c>
      <c r="W5" s="4" t="e">
        <f>V5*(1+'Tenure Split (Mid and SW Wales)'!D$109)+(V$44*(-(50-$T5)*('Tenure Split (Mid and SW Wales)'!D$110/40)))</f>
        <v>#VALUE!</v>
      </c>
      <c r="X5" s="4" t="e">
        <f>W5*(1+'Tenure Split (Mid and SW Wales)'!E$109)+(W$44*(-(50-$T5)*('Tenure Split (Mid and SW Wales)'!E$110/40)))</f>
        <v>#VALUE!</v>
      </c>
      <c r="Y5" s="4" t="e">
        <f>X5*(1+'Tenure Split (Mid and SW Wales)'!F$109)+(X$44*(-(50-$T5)*('Tenure Split (Mid and SW Wales)'!F$110/40)))</f>
        <v>#VALUE!</v>
      </c>
      <c r="Z5" s="4" t="e">
        <f>Y5*(1+'Tenure Split (Mid and SW Wales)'!G$109)+(Y$44*(-(50-$T5)*('Tenure Split (Mid and SW Wales)'!G$110/40)))</f>
        <v>#VALUE!</v>
      </c>
      <c r="AB5" s="1">
        <v>11</v>
      </c>
      <c r="AC5" s="4">
        <f>IF('Tenure Split (WALES)'!$D$8="WG Estimates",'Income (Mid and SW Wales)'!D5,'Income (Mid and SW Wales)'!V5)</f>
        <v>12567.935240240318</v>
      </c>
      <c r="AD5" s="4">
        <f>IF('Tenure Split (WALES)'!$D$8="WG Estimates",'Income (Mid and SW Wales)'!E5,'Income (Mid and SW Wales)'!W5)</f>
        <v>12636.477750850057</v>
      </c>
      <c r="AE5" s="4">
        <f>IF('Tenure Split (WALES)'!$D$8="WG Estimates",'Income (Mid and SW Wales)'!F5,'Income (Mid and SW Wales)'!X5)</f>
        <v>12789.852241032717</v>
      </c>
      <c r="AF5" s="4">
        <f>IF('Tenure Split (WALES)'!$D$8="WG Estimates",'Income (Mid and SW Wales)'!G5,'Income (Mid and SW Wales)'!Y5)</f>
        <v>12994.46860048913</v>
      </c>
      <c r="AG5" s="4">
        <f>IF('Tenure Split (WALES)'!$D$8="WG Estimates",'Income (Mid and SW Wales)'!H5,'Income (Mid and SW Wales)'!Z5)</f>
        <v>13209.358463017563</v>
      </c>
    </row>
    <row r="6" spans="2:33" x14ac:dyDescent="0.25">
      <c r="B6" s="20">
        <v>12</v>
      </c>
      <c r="C6" s="58">
        <v>12622.25</v>
      </c>
      <c r="D6" s="59">
        <f>C6*(1+'Tenure Split (Mid and SW Wales)'!C$109)+(C$44*(-(50-$B6)*('Tenure Split (Mid and SW Wales)'!C$110/40)))</f>
        <v>12829.201915794552</v>
      </c>
      <c r="E6" s="59">
        <f>D6*(1+'Tenure Split (Mid and SW Wales)'!D$109)+(D$44*(-(50-$B6)*('Tenure Split (Mid and SW Wales)'!D$110/40)))</f>
        <v>12910.989958982709</v>
      </c>
      <c r="F6" s="59">
        <f>E6*(1+'Tenure Split (Mid and SW Wales)'!E$109)+(E$44*(-(50-$B6)*('Tenure Split (Mid and SW Wales)'!E$110/40)))</f>
        <v>13080.065174644014</v>
      </c>
      <c r="G6" s="59">
        <f>F6*(1+'Tenure Split (Mid and SW Wales)'!F$109)+(F$44*(-(50-$B6)*('Tenure Split (Mid and SW Wales)'!F$110/40)))</f>
        <v>13302.359872142961</v>
      </c>
      <c r="H6" s="60">
        <f>G6*(1+'Tenure Split (Mid and SW Wales)'!G$109)+(G$44*(-(50-$B6)*('Tenure Split (Mid and SW Wales)'!G$110/40)))</f>
        <v>13536.140773752488</v>
      </c>
      <c r="L6" s="64" t="str">
        <f t="shared" si="0"/>
        <v/>
      </c>
      <c r="M6" s="251"/>
      <c r="N6" s="14">
        <f t="shared" si="3"/>
        <v>1</v>
      </c>
      <c r="T6" s="1">
        <f t="shared" si="1"/>
        <v>12</v>
      </c>
      <c r="U6" s="4" t="str">
        <f t="shared" si="2"/>
        <v/>
      </c>
      <c r="V6" s="4" t="e">
        <f>IF($V$3=$M$3,M6,U6*(1+'Tenure Split (Mid and SW Wales)'!C$109)+(U$44*(-(50-$T6)*('Tenure Split (Mid and SW Wales)'!C$110/40))))</f>
        <v>#VALUE!</v>
      </c>
      <c r="W6" s="4" t="e">
        <f>V6*(1+'Tenure Split (Mid and SW Wales)'!D$109)+(V$44*(-(50-$T6)*('Tenure Split (Mid and SW Wales)'!D$110/40)))</f>
        <v>#VALUE!</v>
      </c>
      <c r="X6" s="4" t="e">
        <f>W6*(1+'Tenure Split (Mid and SW Wales)'!E$109)+(W$44*(-(50-$T6)*('Tenure Split (Mid and SW Wales)'!E$110/40)))</f>
        <v>#VALUE!</v>
      </c>
      <c r="Y6" s="4" t="e">
        <f>X6*(1+'Tenure Split (Mid and SW Wales)'!F$109)+(X$44*(-(50-$T6)*('Tenure Split (Mid and SW Wales)'!F$110/40)))</f>
        <v>#VALUE!</v>
      </c>
      <c r="Z6" s="4" t="e">
        <f>Y6*(1+'Tenure Split (Mid and SW Wales)'!G$109)+(Y$44*(-(50-$T6)*('Tenure Split (Mid and SW Wales)'!G$110/40)))</f>
        <v>#VALUE!</v>
      </c>
      <c r="AB6" s="1">
        <v>12</v>
      </c>
      <c r="AC6" s="4">
        <f>IF('Tenure Split (WALES)'!$D$8="WG Estimates",'Income (Mid and SW Wales)'!D6,'Income (Mid and SW Wales)'!V6)</f>
        <v>12829.201915794552</v>
      </c>
      <c r="AD6" s="4">
        <f>IF('Tenure Split (WALES)'!$D$8="WG Estimates",'Income (Mid and SW Wales)'!E6,'Income (Mid and SW Wales)'!W6)</f>
        <v>12910.989958982709</v>
      </c>
      <c r="AE6" s="4">
        <f>IF('Tenure Split (WALES)'!$D$8="WG Estimates",'Income (Mid and SW Wales)'!F6,'Income (Mid and SW Wales)'!X6)</f>
        <v>13080.065174644014</v>
      </c>
      <c r="AF6" s="4">
        <f>IF('Tenure Split (WALES)'!$D$8="WG Estimates",'Income (Mid and SW Wales)'!G6,'Income (Mid and SW Wales)'!Y6)</f>
        <v>13302.359872142961</v>
      </c>
      <c r="AG6" s="4">
        <f>IF('Tenure Split (WALES)'!$D$8="WG Estimates",'Income (Mid and SW Wales)'!H6,'Income (Mid and SW Wales)'!Z6)</f>
        <v>13536.140773752488</v>
      </c>
    </row>
    <row r="7" spans="2:33" x14ac:dyDescent="0.25">
      <c r="B7" s="20">
        <v>13</v>
      </c>
      <c r="C7" s="58">
        <v>12855.782999999999</v>
      </c>
      <c r="D7" s="59">
        <f>C7*(1+'Tenure Split (Mid and SW Wales)'!C$109)+(C$44*(-(50-$B7)*('Tenure Split (Mid and SW Wales)'!C$110/40)))</f>
        <v>13077.301697427878</v>
      </c>
      <c r="E7" s="59">
        <f>D7*(1+'Tenure Split (Mid and SW Wales)'!D$109)+(D$44*(-(50-$B7)*('Tenure Split (Mid and SW Wales)'!D$110/40)))</f>
        <v>13171.996736624125</v>
      </c>
      <c r="F7" s="59">
        <f>E7*(1+'Tenure Split (Mid and SW Wales)'!E$109)+(E$44*(-(50-$B7)*('Tenure Split (Mid and SW Wales)'!E$110/40)))</f>
        <v>13356.329658971679</v>
      </c>
      <c r="G7" s="59">
        <f>F7*(1+'Tenure Split (Mid and SW Wales)'!F$109)+(F$44*(-(50-$B7)*('Tenure Split (Mid and SW Wales)'!F$110/40)))</f>
        <v>13595.785404379569</v>
      </c>
      <c r="H7" s="60">
        <f>G7*(1+'Tenure Split (Mid and SW Wales)'!G$109)+(G$44*(-(50-$B7)*('Tenure Split (Mid and SW Wales)'!G$110/40)))</f>
        <v>13847.906746869687</v>
      </c>
      <c r="J7" s="11" t="str">
        <f>IF(J4="","",IF(N85=1,"User input not yet complete",IF(N85=0,"User input complete","")))</f>
        <v/>
      </c>
      <c r="L7" s="64" t="str">
        <f t="shared" si="0"/>
        <v/>
      </c>
      <c r="M7" s="251"/>
      <c r="N7" s="14">
        <f t="shared" si="3"/>
        <v>1</v>
      </c>
      <c r="T7" s="1">
        <f t="shared" si="1"/>
        <v>13</v>
      </c>
      <c r="U7" s="4" t="str">
        <f t="shared" si="2"/>
        <v/>
      </c>
      <c r="V7" s="4" t="e">
        <f>IF($V$3=$M$3,M7,U7*(1+'Tenure Split (Mid and SW Wales)'!C$109)+(U$44*(-(50-$T7)*('Tenure Split (Mid and SW Wales)'!C$110/40))))</f>
        <v>#VALUE!</v>
      </c>
      <c r="W7" s="4" t="e">
        <f>V7*(1+'Tenure Split (Mid and SW Wales)'!D$109)+(V$44*(-(50-$T7)*('Tenure Split (Mid and SW Wales)'!D$110/40)))</f>
        <v>#VALUE!</v>
      </c>
      <c r="X7" s="4" t="e">
        <f>W7*(1+'Tenure Split (Mid and SW Wales)'!E$109)+(W$44*(-(50-$T7)*('Tenure Split (Mid and SW Wales)'!E$110/40)))</f>
        <v>#VALUE!</v>
      </c>
      <c r="Y7" s="4" t="e">
        <f>X7*(1+'Tenure Split (Mid and SW Wales)'!F$109)+(X$44*(-(50-$T7)*('Tenure Split (Mid and SW Wales)'!F$110/40)))</f>
        <v>#VALUE!</v>
      </c>
      <c r="Z7" s="4" t="e">
        <f>Y7*(1+'Tenure Split (Mid and SW Wales)'!G$109)+(Y$44*(-(50-$T7)*('Tenure Split (Mid and SW Wales)'!G$110/40)))</f>
        <v>#VALUE!</v>
      </c>
      <c r="AB7" s="1">
        <v>13</v>
      </c>
      <c r="AC7" s="4">
        <f>IF('Tenure Split (WALES)'!$D$8="WG Estimates",'Income (Mid and SW Wales)'!D7,'Income (Mid and SW Wales)'!V7)</f>
        <v>13077.301697427878</v>
      </c>
      <c r="AD7" s="4">
        <f>IF('Tenure Split (WALES)'!$D$8="WG Estimates",'Income (Mid and SW Wales)'!E7,'Income (Mid and SW Wales)'!W7)</f>
        <v>13171.996736624125</v>
      </c>
      <c r="AE7" s="4">
        <f>IF('Tenure Split (WALES)'!$D$8="WG Estimates",'Income (Mid and SW Wales)'!F7,'Income (Mid and SW Wales)'!X7)</f>
        <v>13356.329658971679</v>
      </c>
      <c r="AF7" s="4">
        <f>IF('Tenure Split (WALES)'!$D$8="WG Estimates",'Income (Mid and SW Wales)'!G7,'Income (Mid and SW Wales)'!Y7)</f>
        <v>13595.785404379569</v>
      </c>
      <c r="AG7" s="4">
        <f>IF('Tenure Split (WALES)'!$D$8="WG Estimates",'Income (Mid and SW Wales)'!H7,'Income (Mid and SW Wales)'!Z7)</f>
        <v>13847.906746869687</v>
      </c>
    </row>
    <row r="8" spans="2:33" x14ac:dyDescent="0.25">
      <c r="B8" s="20">
        <v>14</v>
      </c>
      <c r="C8" s="58">
        <v>12930.6</v>
      </c>
      <c r="D8" s="59">
        <f>C8*(1+'Tenure Split (Mid and SW Wales)'!C$109)+(C$44*(-(50-$B8)*('Tenure Split (Mid and SW Wales)'!C$110/40)))</f>
        <v>13161.07052556977</v>
      </c>
      <c r="E8" s="59">
        <f>D8*(1+'Tenure Split (Mid and SW Wales)'!D$109)+(D$44*(-(50-$B8)*('Tenure Split (Mid and SW Wales)'!D$110/40)))</f>
        <v>13264.447415669463</v>
      </c>
      <c r="F8" s="59">
        <f>E8*(1+'Tenure Split (Mid and SW Wales)'!E$109)+(E$44*(-(50-$B8)*('Tenure Split (Mid and SW Wales)'!E$110/40)))</f>
        <v>13458.508897054109</v>
      </c>
      <c r="G8" s="59">
        <f>F8*(1+'Tenure Split (Mid and SW Wales)'!F$109)+(F$44*(-(50-$B8)*('Tenure Split (Mid and SW Wales)'!F$110/40)))</f>
        <v>13708.669590595597</v>
      </c>
      <c r="H8" s="60">
        <f>G8*(1+'Tenure Split (Mid and SW Wales)'!G$109)+(G$44*(-(50-$B8)*('Tenure Split (Mid and SW Wales)'!G$110/40)))</f>
        <v>13972.259568981533</v>
      </c>
      <c r="L8" s="64" t="str">
        <f t="shared" si="0"/>
        <v/>
      </c>
      <c r="M8" s="251"/>
      <c r="N8" s="14">
        <f t="shared" si="3"/>
        <v>1</v>
      </c>
      <c r="T8" s="1">
        <f t="shared" si="1"/>
        <v>14</v>
      </c>
      <c r="U8" s="4" t="str">
        <f t="shared" si="2"/>
        <v/>
      </c>
      <c r="V8" s="4" t="e">
        <f>IF($V$3=$M$3,M8,U8*(1+'Tenure Split (Mid and SW Wales)'!C$109)+(U$44*(-(50-$T8)*('Tenure Split (Mid and SW Wales)'!C$110/40))))</f>
        <v>#VALUE!</v>
      </c>
      <c r="W8" s="4" t="e">
        <f>V8*(1+'Tenure Split (Mid and SW Wales)'!D$109)+(V$44*(-(50-$T8)*('Tenure Split (Mid and SW Wales)'!D$110/40)))</f>
        <v>#VALUE!</v>
      </c>
      <c r="X8" s="4" t="e">
        <f>W8*(1+'Tenure Split (Mid and SW Wales)'!E$109)+(W$44*(-(50-$T8)*('Tenure Split (Mid and SW Wales)'!E$110/40)))</f>
        <v>#VALUE!</v>
      </c>
      <c r="Y8" s="4" t="e">
        <f>X8*(1+'Tenure Split (Mid and SW Wales)'!F$109)+(X$44*(-(50-$T8)*('Tenure Split (Mid and SW Wales)'!F$110/40)))</f>
        <v>#VALUE!</v>
      </c>
      <c r="Z8" s="4" t="e">
        <f>Y8*(1+'Tenure Split (Mid and SW Wales)'!G$109)+(Y$44*(-(50-$T8)*('Tenure Split (Mid and SW Wales)'!G$110/40)))</f>
        <v>#VALUE!</v>
      </c>
      <c r="AB8" s="1">
        <v>14</v>
      </c>
      <c r="AC8" s="4">
        <f>IF('Tenure Split (WALES)'!$D$8="WG Estimates",'Income (Mid and SW Wales)'!D8,'Income (Mid and SW Wales)'!V8)</f>
        <v>13161.07052556977</v>
      </c>
      <c r="AD8" s="4">
        <f>IF('Tenure Split (WALES)'!$D$8="WG Estimates",'Income (Mid and SW Wales)'!E8,'Income (Mid and SW Wales)'!W8)</f>
        <v>13264.447415669463</v>
      </c>
      <c r="AE8" s="4">
        <f>IF('Tenure Split (WALES)'!$D$8="WG Estimates",'Income (Mid and SW Wales)'!F8,'Income (Mid and SW Wales)'!X8)</f>
        <v>13458.508897054109</v>
      </c>
      <c r="AF8" s="4">
        <f>IF('Tenure Split (WALES)'!$D$8="WG Estimates",'Income (Mid and SW Wales)'!G8,'Income (Mid and SW Wales)'!Y8)</f>
        <v>13708.669590595597</v>
      </c>
      <c r="AG8" s="4">
        <f>IF('Tenure Split (WALES)'!$D$8="WG Estimates",'Income (Mid and SW Wales)'!H8,'Income (Mid and SW Wales)'!Z8)</f>
        <v>13972.259568981533</v>
      </c>
    </row>
    <row r="9" spans="2:33" x14ac:dyDescent="0.25">
      <c r="B9" s="20">
        <v>15</v>
      </c>
      <c r="C9" s="58">
        <v>13200</v>
      </c>
      <c r="D9" s="59">
        <f>C9*(1+'Tenure Split (Mid and SW Wales)'!C$109)+(C$44*(-(50-$B9)*('Tenure Split (Mid and SW Wales)'!C$110/40)))</f>
        <v>13446.306187069507</v>
      </c>
      <c r="E9" s="59">
        <f>D9*(1+'Tenure Split (Mid and SW Wales)'!D$109)+(D$44*(-(50-$B9)*('Tenure Split (Mid and SW Wales)'!D$110/40)))</f>
        <v>13563.544881006803</v>
      </c>
      <c r="F9" s="59">
        <f>E9*(1+'Tenure Split (Mid and SW Wales)'!E$109)+(E$44*(-(50-$B9)*('Tenure Split (Mid and SW Wales)'!E$110/40)))</f>
        <v>13774.113558346153</v>
      </c>
      <c r="G9" s="59">
        <f>F9*(1+'Tenure Split (Mid and SW Wales)'!F$109)+(F$44*(-(50-$B9)*('Tenure Split (Mid and SW Wales)'!F$110/40)))</f>
        <v>14042.894263799217</v>
      </c>
      <c r="H9" s="60">
        <f>G9*(1+'Tenure Split (Mid and SW Wales)'!G$109)+(G$44*(-(50-$B9)*('Tenure Split (Mid and SW Wales)'!G$110/40)))</f>
        <v>14326.377589070109</v>
      </c>
      <c r="J9" s="436" t="str">
        <f>IF(J4="","If you would like to use your own income distribution data, please change your dropdown selection.","")</f>
        <v>If you would like to use your own income distribution data, please change your dropdown selection.</v>
      </c>
      <c r="L9" s="64" t="str">
        <f t="shared" si="0"/>
        <v/>
      </c>
      <c r="M9" s="251"/>
      <c r="N9" s="14">
        <f t="shared" si="3"/>
        <v>1</v>
      </c>
      <c r="T9" s="1">
        <f t="shared" si="1"/>
        <v>15</v>
      </c>
      <c r="U9" s="4" t="str">
        <f t="shared" si="2"/>
        <v/>
      </c>
      <c r="V9" s="4" t="e">
        <f>IF($V$3=$M$3,M9,U9*(1+'Tenure Split (Mid and SW Wales)'!C$109)+(U$44*(-(50-$T9)*('Tenure Split (Mid and SW Wales)'!C$110/40))))</f>
        <v>#VALUE!</v>
      </c>
      <c r="W9" s="4" t="e">
        <f>V9*(1+'Tenure Split (Mid and SW Wales)'!D$109)+(V$44*(-(50-$T9)*('Tenure Split (Mid and SW Wales)'!D$110/40)))</f>
        <v>#VALUE!</v>
      </c>
      <c r="X9" s="4" t="e">
        <f>W9*(1+'Tenure Split (Mid and SW Wales)'!E$109)+(W$44*(-(50-$T9)*('Tenure Split (Mid and SW Wales)'!E$110/40)))</f>
        <v>#VALUE!</v>
      </c>
      <c r="Y9" s="4" t="e">
        <f>X9*(1+'Tenure Split (Mid and SW Wales)'!F$109)+(X$44*(-(50-$T9)*('Tenure Split (Mid and SW Wales)'!F$110/40)))</f>
        <v>#VALUE!</v>
      </c>
      <c r="Z9" s="4" t="e">
        <f>Y9*(1+'Tenure Split (Mid and SW Wales)'!G$109)+(Y$44*(-(50-$T9)*('Tenure Split (Mid and SW Wales)'!G$110/40)))</f>
        <v>#VALUE!</v>
      </c>
      <c r="AB9" s="1">
        <v>15</v>
      </c>
      <c r="AC9" s="4">
        <f>IF('Tenure Split (WALES)'!$D$8="WG Estimates",'Income (Mid and SW Wales)'!D9,'Income (Mid and SW Wales)'!V9)</f>
        <v>13446.306187069507</v>
      </c>
      <c r="AD9" s="4">
        <f>IF('Tenure Split (WALES)'!$D$8="WG Estimates",'Income (Mid and SW Wales)'!E9,'Income (Mid and SW Wales)'!W9)</f>
        <v>13563.544881006803</v>
      </c>
      <c r="AE9" s="4">
        <f>IF('Tenure Split (WALES)'!$D$8="WG Estimates",'Income (Mid and SW Wales)'!F9,'Income (Mid and SW Wales)'!X9)</f>
        <v>13774.113558346153</v>
      </c>
      <c r="AF9" s="4">
        <f>IF('Tenure Split (WALES)'!$D$8="WG Estimates",'Income (Mid and SW Wales)'!G9,'Income (Mid and SW Wales)'!Y9)</f>
        <v>14042.894263799217</v>
      </c>
      <c r="AG9" s="4">
        <f>IF('Tenure Split (WALES)'!$D$8="WG Estimates",'Income (Mid and SW Wales)'!H9,'Income (Mid and SW Wales)'!Z9)</f>
        <v>14326.377589070109</v>
      </c>
    </row>
    <row r="10" spans="2:33" x14ac:dyDescent="0.25">
      <c r="B10" s="20">
        <v>16</v>
      </c>
      <c r="C10" s="58">
        <v>13680.5</v>
      </c>
      <c r="D10" s="59">
        <f>C10*(1+'Tenure Split (Mid and SW Wales)'!C$109)+(C$44*(-(50-$B10)*('Tenure Split (Mid and SW Wales)'!C$110/40)))</f>
        <v>13950.110009826089</v>
      </c>
      <c r="E10" s="59">
        <f>D10*(1+'Tenure Split (Mid and SW Wales)'!D$109)+(D$44*(-(50-$B10)*('Tenure Split (Mid and SW Wales)'!D$110/40)))</f>
        <v>14086.830156102653</v>
      </c>
      <c r="F10" s="59">
        <f>E10*(1+'Tenure Split (Mid and SW Wales)'!E$109)+(E$44*(-(50-$B10)*('Tenure Split (Mid and SW Wales)'!E$110/40)))</f>
        <v>14321.260064709695</v>
      </c>
      <c r="G10" s="59">
        <f>F10*(1+'Tenure Split (Mid and SW Wales)'!F$109)+(F$44*(-(50-$B10)*('Tenure Split (Mid and SW Wales)'!F$110/40)))</f>
        <v>14617.247708802421</v>
      </c>
      <c r="H10" s="60">
        <f>G10*(1+'Tenure Split (Mid and SW Wales)'!G$109)+(G$44*(-(50-$B10)*('Tenure Split (Mid and SW Wales)'!G$110/40)))</f>
        <v>14929.764215834939</v>
      </c>
      <c r="J10" s="436"/>
      <c r="L10" s="64" t="str">
        <f t="shared" si="0"/>
        <v/>
      </c>
      <c r="M10" s="251"/>
      <c r="N10" s="14">
        <f t="shared" si="3"/>
        <v>1</v>
      </c>
      <c r="T10" s="1">
        <f t="shared" si="1"/>
        <v>16</v>
      </c>
      <c r="U10" s="4" t="str">
        <f t="shared" si="2"/>
        <v/>
      </c>
      <c r="V10" s="4" t="e">
        <f>IF($V$3=$M$3,M10,U10*(1+'Tenure Split (Mid and SW Wales)'!C$109)+(U$44*(-(50-$T10)*('Tenure Split (Mid and SW Wales)'!C$110/40))))</f>
        <v>#VALUE!</v>
      </c>
      <c r="W10" s="4" t="e">
        <f>V10*(1+'Tenure Split (Mid and SW Wales)'!D$109)+(V$44*(-(50-$T10)*('Tenure Split (Mid and SW Wales)'!D$110/40)))</f>
        <v>#VALUE!</v>
      </c>
      <c r="X10" s="4" t="e">
        <f>W10*(1+'Tenure Split (Mid and SW Wales)'!E$109)+(W$44*(-(50-$T10)*('Tenure Split (Mid and SW Wales)'!E$110/40)))</f>
        <v>#VALUE!</v>
      </c>
      <c r="Y10" s="4" t="e">
        <f>X10*(1+'Tenure Split (Mid and SW Wales)'!F$109)+(X$44*(-(50-$T10)*('Tenure Split (Mid and SW Wales)'!F$110/40)))</f>
        <v>#VALUE!</v>
      </c>
      <c r="Z10" s="4" t="e">
        <f>Y10*(1+'Tenure Split (Mid and SW Wales)'!G$109)+(Y$44*(-(50-$T10)*('Tenure Split (Mid and SW Wales)'!G$110/40)))</f>
        <v>#VALUE!</v>
      </c>
      <c r="AB10" s="1">
        <v>16</v>
      </c>
      <c r="AC10" s="4">
        <f>IF('Tenure Split (WALES)'!$D$8="WG Estimates",'Income (Mid and SW Wales)'!D10,'Income (Mid and SW Wales)'!V10)</f>
        <v>13950.110009826089</v>
      </c>
      <c r="AD10" s="4">
        <f>IF('Tenure Split (WALES)'!$D$8="WG Estimates",'Income (Mid and SW Wales)'!E10,'Income (Mid and SW Wales)'!W10)</f>
        <v>14086.830156102653</v>
      </c>
      <c r="AE10" s="4">
        <f>IF('Tenure Split (WALES)'!$D$8="WG Estimates",'Income (Mid and SW Wales)'!F10,'Income (Mid and SW Wales)'!X10)</f>
        <v>14321.260064709695</v>
      </c>
      <c r="AF10" s="4">
        <f>IF('Tenure Split (WALES)'!$D$8="WG Estimates",'Income (Mid and SW Wales)'!G10,'Income (Mid and SW Wales)'!Y10)</f>
        <v>14617.247708802421</v>
      </c>
      <c r="AG10" s="4">
        <f>IF('Tenure Split (WALES)'!$D$8="WG Estimates",'Income (Mid and SW Wales)'!H10,'Income (Mid and SW Wales)'!Z10)</f>
        <v>14929.764215834939</v>
      </c>
    </row>
    <row r="11" spans="2:33" x14ac:dyDescent="0.25">
      <c r="B11" s="20">
        <v>17</v>
      </c>
      <c r="C11" s="58">
        <v>14017.75</v>
      </c>
      <c r="D11" s="59">
        <f>C11*(1+'Tenure Split (Mid and SW Wales)'!C$109)+(C$44*(-(50-$B11)*('Tenure Split (Mid and SW Wales)'!C$110/40)))</f>
        <v>14305.596025382089</v>
      </c>
      <c r="E11" s="59">
        <f>D11*(1+'Tenure Split (Mid and SW Wales)'!D$109)+(D$44*(-(50-$B11)*('Tenure Split (Mid and SW Wales)'!D$110/40)))</f>
        <v>14457.98419601183</v>
      </c>
      <c r="F11" s="59">
        <f>E11*(1+'Tenure Split (Mid and SW Wales)'!E$109)+(E$44*(-(50-$B11)*('Tenure Split (Mid and SW Wales)'!E$110/40)))</f>
        <v>14711.284973221545</v>
      </c>
      <c r="G11" s="59">
        <f>F11*(1+'Tenure Split (Mid and SW Wales)'!F$109)+(F$44*(-(50-$B11)*('Tenure Split (Mid and SW Wales)'!F$110/40)))</f>
        <v>15028.652567541814</v>
      </c>
      <c r="H11" s="60">
        <f>G11*(1+'Tenure Split (Mid and SW Wales)'!G$109)+(G$44*(-(50-$B11)*('Tenure Split (Mid and SW Wales)'!G$110/40)))</f>
        <v>15364.000070897386</v>
      </c>
      <c r="L11" s="64" t="str">
        <f t="shared" si="0"/>
        <v/>
      </c>
      <c r="M11" s="251"/>
      <c r="N11" s="14">
        <f t="shared" si="3"/>
        <v>1</v>
      </c>
      <c r="T11" s="1">
        <f t="shared" si="1"/>
        <v>17</v>
      </c>
      <c r="U11" s="4" t="str">
        <f t="shared" si="2"/>
        <v/>
      </c>
      <c r="V11" s="4" t="e">
        <f>IF($V$3=$M$3,M11,U11*(1+'Tenure Split (Mid and SW Wales)'!C$109)+(U$44*(-(50-$T11)*('Tenure Split (Mid and SW Wales)'!C$110/40))))</f>
        <v>#VALUE!</v>
      </c>
      <c r="W11" s="4" t="e">
        <f>V11*(1+'Tenure Split (Mid and SW Wales)'!D$109)+(V$44*(-(50-$T11)*('Tenure Split (Mid and SW Wales)'!D$110/40)))</f>
        <v>#VALUE!</v>
      </c>
      <c r="X11" s="4" t="e">
        <f>W11*(1+'Tenure Split (Mid and SW Wales)'!E$109)+(W$44*(-(50-$T11)*('Tenure Split (Mid and SW Wales)'!E$110/40)))</f>
        <v>#VALUE!</v>
      </c>
      <c r="Y11" s="4" t="e">
        <f>X11*(1+'Tenure Split (Mid and SW Wales)'!F$109)+(X$44*(-(50-$T11)*('Tenure Split (Mid and SW Wales)'!F$110/40)))</f>
        <v>#VALUE!</v>
      </c>
      <c r="Z11" s="4" t="e">
        <f>Y11*(1+'Tenure Split (Mid and SW Wales)'!G$109)+(Y$44*(-(50-$T11)*('Tenure Split (Mid and SW Wales)'!G$110/40)))</f>
        <v>#VALUE!</v>
      </c>
      <c r="AB11" s="1">
        <v>17</v>
      </c>
      <c r="AC11" s="4">
        <f>IF('Tenure Split (WALES)'!$D$8="WG Estimates",'Income (Mid and SW Wales)'!D11,'Income (Mid and SW Wales)'!V11)</f>
        <v>14305.596025382089</v>
      </c>
      <c r="AD11" s="4">
        <f>IF('Tenure Split (WALES)'!$D$8="WG Estimates",'Income (Mid and SW Wales)'!E11,'Income (Mid and SW Wales)'!W11)</f>
        <v>14457.98419601183</v>
      </c>
      <c r="AE11" s="4">
        <f>IF('Tenure Split (WALES)'!$D$8="WG Estimates",'Income (Mid and SW Wales)'!F11,'Income (Mid and SW Wales)'!X11)</f>
        <v>14711.284973221545</v>
      </c>
      <c r="AF11" s="4">
        <f>IF('Tenure Split (WALES)'!$D$8="WG Estimates",'Income (Mid and SW Wales)'!G11,'Income (Mid and SW Wales)'!Y11)</f>
        <v>15028.652567541814</v>
      </c>
      <c r="AG11" s="4">
        <f>IF('Tenure Split (WALES)'!$D$8="WG Estimates",'Income (Mid and SW Wales)'!H11,'Income (Mid and SW Wales)'!Z11)</f>
        <v>15364.000070897386</v>
      </c>
    </row>
    <row r="12" spans="2:33" x14ac:dyDescent="0.25">
      <c r="B12" s="20">
        <v>18</v>
      </c>
      <c r="C12" s="58">
        <v>14333.233</v>
      </c>
      <c r="D12" s="59">
        <f>C12*(1+'Tenure Split (Mid and SW Wales)'!C$109)+(C$44*(-(50-$B12)*('Tenure Split (Mid and SW Wales)'!C$110/40)))</f>
        <v>14638.544981885139</v>
      </c>
      <c r="E12" s="59">
        <f>D12*(1+'Tenure Split (Mid and SW Wales)'!D$109)+(D$44*(-(50-$B12)*('Tenure Split (Mid and SW Wales)'!D$110/40)))</f>
        <v>14806.021722159692</v>
      </c>
      <c r="F12" s="59">
        <f>E12*(1+'Tenure Split (Mid and SW Wales)'!E$109)+(E$44*(-(50-$B12)*('Tenure Split (Mid and SW Wales)'!E$110/40)))</f>
        <v>15077.435076704161</v>
      </c>
      <c r="G12" s="59">
        <f>F12*(1+'Tenure Split (Mid and SW Wales)'!F$109)+(F$44*(-(50-$B12)*('Tenure Split (Mid and SW Wales)'!F$110/40)))</f>
        <v>15415.297203752729</v>
      </c>
      <c r="H12" s="60">
        <f>G12*(1+'Tenure Split (Mid and SW Wales)'!G$109)+(G$44*(-(50-$B12)*('Tenure Split (Mid and SW Wales)'!G$110/40)))</f>
        <v>15772.533274318324</v>
      </c>
      <c r="L12" s="64" t="str">
        <f t="shared" si="0"/>
        <v/>
      </c>
      <c r="M12" s="251"/>
      <c r="N12" s="14">
        <f t="shared" si="3"/>
        <v>1</v>
      </c>
      <c r="T12" s="1">
        <f t="shared" si="1"/>
        <v>18</v>
      </c>
      <c r="U12" s="4" t="str">
        <f t="shared" si="2"/>
        <v/>
      </c>
      <c r="V12" s="4" t="e">
        <f>IF($V$3=$M$3,M12,U12*(1+'Tenure Split (Mid and SW Wales)'!C$109)+(U$44*(-(50-$T12)*('Tenure Split (Mid and SW Wales)'!C$110/40))))</f>
        <v>#VALUE!</v>
      </c>
      <c r="W12" s="4" t="e">
        <f>V12*(1+'Tenure Split (Mid and SW Wales)'!D$109)+(V$44*(-(50-$T12)*('Tenure Split (Mid and SW Wales)'!D$110/40)))</f>
        <v>#VALUE!</v>
      </c>
      <c r="X12" s="4" t="e">
        <f>W12*(1+'Tenure Split (Mid and SW Wales)'!E$109)+(W$44*(-(50-$T12)*('Tenure Split (Mid and SW Wales)'!E$110/40)))</f>
        <v>#VALUE!</v>
      </c>
      <c r="Y12" s="4" t="e">
        <f>X12*(1+'Tenure Split (Mid and SW Wales)'!F$109)+(X$44*(-(50-$T12)*('Tenure Split (Mid and SW Wales)'!F$110/40)))</f>
        <v>#VALUE!</v>
      </c>
      <c r="Z12" s="4" t="e">
        <f>Y12*(1+'Tenure Split (Mid and SW Wales)'!G$109)+(Y$44*(-(50-$T12)*('Tenure Split (Mid and SW Wales)'!G$110/40)))</f>
        <v>#VALUE!</v>
      </c>
      <c r="AB12" s="1">
        <v>18</v>
      </c>
      <c r="AC12" s="4">
        <f>IF('Tenure Split (WALES)'!$D$8="WG Estimates",'Income (Mid and SW Wales)'!D12,'Income (Mid and SW Wales)'!V12)</f>
        <v>14638.544981885139</v>
      </c>
      <c r="AD12" s="4">
        <f>IF('Tenure Split (WALES)'!$D$8="WG Estimates",'Income (Mid and SW Wales)'!E12,'Income (Mid and SW Wales)'!W12)</f>
        <v>14806.021722159692</v>
      </c>
      <c r="AE12" s="4">
        <f>IF('Tenure Split (WALES)'!$D$8="WG Estimates",'Income (Mid and SW Wales)'!F12,'Income (Mid and SW Wales)'!X12)</f>
        <v>15077.435076704161</v>
      </c>
      <c r="AF12" s="4">
        <f>IF('Tenure Split (WALES)'!$D$8="WG Estimates",'Income (Mid and SW Wales)'!G12,'Income (Mid and SW Wales)'!Y12)</f>
        <v>15415.297203752729</v>
      </c>
      <c r="AG12" s="4">
        <f>IF('Tenure Split (WALES)'!$D$8="WG Estimates",'Income (Mid and SW Wales)'!H12,'Income (Mid and SW Wales)'!Z12)</f>
        <v>15772.533274318324</v>
      </c>
    </row>
    <row r="13" spans="2:33" x14ac:dyDescent="0.25">
      <c r="B13" s="20">
        <v>19</v>
      </c>
      <c r="C13" s="58">
        <v>14630</v>
      </c>
      <c r="D13" s="59">
        <f>C13*(1+'Tenure Split (Mid and SW Wales)'!C$109)+(C$44*(-(50-$B13)*('Tenure Split (Mid and SW Wales)'!C$110/40)))</f>
        <v>14952.115815668703</v>
      </c>
      <c r="E13" s="59">
        <f>D13*(1+'Tenure Split (Mid and SW Wales)'!D$109)+(D$44*(-(50-$B13)*('Tenure Split (Mid and SW Wales)'!D$110/40)))</f>
        <v>15134.182890906131</v>
      </c>
      <c r="F13" s="59">
        <f>E13*(1+'Tenure Split (Mid and SW Wales)'!E$109)+(E$44*(-(50-$B13)*('Tenure Split (Mid and SW Wales)'!E$110/40)))</f>
        <v>15423.056818403933</v>
      </c>
      <c r="G13" s="59">
        <f>F13*(1+'Tenure Split (Mid and SW Wales)'!F$109)+(F$44*(-(50-$B13)*('Tenure Split (Mid and SW Wales)'!F$110/40)))</f>
        <v>15780.652166382397</v>
      </c>
      <c r="H13" s="60">
        <f>G13*(1+'Tenure Split (Mid and SW Wales)'!G$109)+(G$44*(-(50-$B13)*('Tenure Split (Mid and SW Wales)'!G$110/40)))</f>
        <v>16158.966471853173</v>
      </c>
      <c r="L13" s="64" t="str">
        <f t="shared" si="0"/>
        <v/>
      </c>
      <c r="M13" s="251"/>
      <c r="N13" s="14">
        <f t="shared" si="3"/>
        <v>1</v>
      </c>
      <c r="T13" s="1">
        <f t="shared" si="1"/>
        <v>19</v>
      </c>
      <c r="U13" s="4" t="str">
        <f t="shared" si="2"/>
        <v/>
      </c>
      <c r="V13" s="4" t="e">
        <f>IF($V$3=$M$3,M13,U13*(1+'Tenure Split (Mid and SW Wales)'!C$109)+(U$44*(-(50-$T13)*('Tenure Split (Mid and SW Wales)'!C$110/40))))</f>
        <v>#VALUE!</v>
      </c>
      <c r="W13" s="4" t="e">
        <f>V13*(1+'Tenure Split (Mid and SW Wales)'!D$109)+(V$44*(-(50-$T13)*('Tenure Split (Mid and SW Wales)'!D$110/40)))</f>
        <v>#VALUE!</v>
      </c>
      <c r="X13" s="4" t="e">
        <f>W13*(1+'Tenure Split (Mid and SW Wales)'!E$109)+(W$44*(-(50-$T13)*('Tenure Split (Mid and SW Wales)'!E$110/40)))</f>
        <v>#VALUE!</v>
      </c>
      <c r="Y13" s="4" t="e">
        <f>X13*(1+'Tenure Split (Mid and SW Wales)'!F$109)+(X$44*(-(50-$T13)*('Tenure Split (Mid and SW Wales)'!F$110/40)))</f>
        <v>#VALUE!</v>
      </c>
      <c r="Z13" s="4" t="e">
        <f>Y13*(1+'Tenure Split (Mid and SW Wales)'!G$109)+(Y$44*(-(50-$T13)*('Tenure Split (Mid and SW Wales)'!G$110/40)))</f>
        <v>#VALUE!</v>
      </c>
      <c r="AB13" s="1">
        <v>19</v>
      </c>
      <c r="AC13" s="4">
        <f>IF('Tenure Split (WALES)'!$D$8="WG Estimates",'Income (Mid and SW Wales)'!D13,'Income (Mid and SW Wales)'!V13)</f>
        <v>14952.115815668703</v>
      </c>
      <c r="AD13" s="4">
        <f>IF('Tenure Split (WALES)'!$D$8="WG Estimates",'Income (Mid and SW Wales)'!E13,'Income (Mid and SW Wales)'!W13)</f>
        <v>15134.182890906131</v>
      </c>
      <c r="AE13" s="4">
        <f>IF('Tenure Split (WALES)'!$D$8="WG Estimates",'Income (Mid and SW Wales)'!F13,'Income (Mid and SW Wales)'!X13)</f>
        <v>15423.056818403933</v>
      </c>
      <c r="AF13" s="4">
        <f>IF('Tenure Split (WALES)'!$D$8="WG Estimates",'Income (Mid and SW Wales)'!G13,'Income (Mid and SW Wales)'!Y13)</f>
        <v>15780.652166382397</v>
      </c>
      <c r="AG13" s="4">
        <f>IF('Tenure Split (WALES)'!$D$8="WG Estimates",'Income (Mid and SW Wales)'!H13,'Income (Mid and SW Wales)'!Z13)</f>
        <v>16158.966471853173</v>
      </c>
    </row>
    <row r="14" spans="2:33" x14ac:dyDescent="0.25">
      <c r="B14" s="20">
        <v>20</v>
      </c>
      <c r="C14" s="58">
        <v>14895</v>
      </c>
      <c r="D14" s="59">
        <f>C14*(1+'Tenure Split (Mid and SW Wales)'!C$109)+(C$44*(-(50-$B14)*('Tenure Split (Mid and SW Wales)'!C$110/40)))</f>
        <v>15232.79581677275</v>
      </c>
      <c r="E14" s="59">
        <f>D14*(1+'Tenure Split (Mid and SW Wales)'!D$109)+(D$44*(-(50-$B14)*('Tenure Split (Mid and SW Wales)'!D$110/40)))</f>
        <v>15428.607564377349</v>
      </c>
      <c r="F14" s="59">
        <f>E14*(1+'Tenure Split (Mid and SW Wales)'!E$109)+(E$44*(-(50-$B14)*('Tenure Split (Mid and SW Wales)'!E$110/40)))</f>
        <v>15733.835406184297</v>
      </c>
      <c r="G14" s="59">
        <f>F14*(1+'Tenure Split (Mid and SW Wales)'!F$109)+(F$44*(-(50-$B14)*('Tenure Split (Mid and SW Wales)'!F$110/40)))</f>
        <v>16109.871787023634</v>
      </c>
      <c r="H14" s="60">
        <f>G14*(1+'Tenure Split (Mid and SW Wales)'!G$109)+(G$44*(-(50-$B14)*('Tenure Split (Mid and SW Wales)'!G$110/40)))</f>
        <v>16507.888935952284</v>
      </c>
      <c r="L14" s="64" t="str">
        <f t="shared" si="0"/>
        <v/>
      </c>
      <c r="M14" s="251"/>
      <c r="N14" s="14">
        <f t="shared" si="3"/>
        <v>1</v>
      </c>
      <c r="T14" s="1">
        <f t="shared" si="1"/>
        <v>20</v>
      </c>
      <c r="U14" s="4" t="str">
        <f t="shared" si="2"/>
        <v/>
      </c>
      <c r="V14" s="4" t="e">
        <f>IF($V$3=$M$3,M14,U14*(1+'Tenure Split (Mid and SW Wales)'!C$109)+(U$44*(-(50-$T14)*('Tenure Split (Mid and SW Wales)'!C$110/40))))</f>
        <v>#VALUE!</v>
      </c>
      <c r="W14" s="4" t="e">
        <f>V14*(1+'Tenure Split (Mid and SW Wales)'!D$109)+(V$44*(-(50-$T14)*('Tenure Split (Mid and SW Wales)'!D$110/40)))</f>
        <v>#VALUE!</v>
      </c>
      <c r="X14" s="4" t="e">
        <f>W14*(1+'Tenure Split (Mid and SW Wales)'!E$109)+(W$44*(-(50-$T14)*('Tenure Split (Mid and SW Wales)'!E$110/40)))</f>
        <v>#VALUE!</v>
      </c>
      <c r="Y14" s="4" t="e">
        <f>X14*(1+'Tenure Split (Mid and SW Wales)'!F$109)+(X$44*(-(50-$T14)*('Tenure Split (Mid and SW Wales)'!F$110/40)))</f>
        <v>#VALUE!</v>
      </c>
      <c r="Z14" s="4" t="e">
        <f>Y14*(1+'Tenure Split (Mid and SW Wales)'!G$109)+(Y$44*(-(50-$T14)*('Tenure Split (Mid and SW Wales)'!G$110/40)))</f>
        <v>#VALUE!</v>
      </c>
      <c r="AB14" s="1">
        <v>20</v>
      </c>
      <c r="AC14" s="4">
        <f>IF('Tenure Split (WALES)'!$D$8="WG Estimates",'Income (Mid and SW Wales)'!D14,'Income (Mid and SW Wales)'!V14)</f>
        <v>15232.79581677275</v>
      </c>
      <c r="AD14" s="4">
        <f>IF('Tenure Split (WALES)'!$D$8="WG Estimates",'Income (Mid and SW Wales)'!E14,'Income (Mid and SW Wales)'!W14)</f>
        <v>15428.607564377349</v>
      </c>
      <c r="AE14" s="4">
        <f>IF('Tenure Split (WALES)'!$D$8="WG Estimates",'Income (Mid and SW Wales)'!F14,'Income (Mid and SW Wales)'!X14)</f>
        <v>15733.835406184297</v>
      </c>
      <c r="AF14" s="4">
        <f>IF('Tenure Split (WALES)'!$D$8="WG Estimates",'Income (Mid and SW Wales)'!G14,'Income (Mid and SW Wales)'!Y14)</f>
        <v>16109.871787023634</v>
      </c>
      <c r="AG14" s="4">
        <f>IF('Tenure Split (WALES)'!$D$8="WG Estimates",'Income (Mid and SW Wales)'!H14,'Income (Mid and SW Wales)'!Z14)</f>
        <v>16507.888935952284</v>
      </c>
    </row>
    <row r="15" spans="2:33" x14ac:dyDescent="0.25">
      <c r="B15" s="20">
        <v>21</v>
      </c>
      <c r="C15" s="58">
        <v>15020</v>
      </c>
      <c r="D15" s="59">
        <f>C15*(1+'Tenure Split (Mid and SW Wales)'!C$109)+(C$44*(-(50-$B15)*('Tenure Split (Mid and SW Wales)'!C$110/40)))</f>
        <v>15368.522987104849</v>
      </c>
      <c r="E15" s="59">
        <f>D15*(1+'Tenure Split (Mid and SW Wales)'!D$109)+(D$44*(-(50-$B15)*('Tenure Split (Mid and SW Wales)'!D$110/40)))</f>
        <v>15574.352496653913</v>
      </c>
      <c r="F15" s="59">
        <f>E15*(1+'Tenure Split (Mid and SW Wales)'!E$109)+(E$44*(-(50-$B15)*('Tenure Split (Mid and SW Wales)'!E$110/40)))</f>
        <v>15891.057109502273</v>
      </c>
      <c r="G15" s="59">
        <f>F15*(1+'Tenure Split (Mid and SW Wales)'!F$109)+(F$44*(-(50-$B15)*('Tenure Split (Mid and SW Wales)'!F$110/40)))</f>
        <v>16279.839735225545</v>
      </c>
      <c r="H15" s="60">
        <f>G15*(1+'Tenure Split (Mid and SW Wales)'!G$109)+(G$44*(-(50-$B15)*('Tenure Split (Mid and SW Wales)'!G$110/40)))</f>
        <v>16691.498254932136</v>
      </c>
      <c r="L15" s="64" t="str">
        <f t="shared" si="0"/>
        <v/>
      </c>
      <c r="M15" s="251"/>
      <c r="N15" s="14">
        <f t="shared" si="3"/>
        <v>1</v>
      </c>
      <c r="T15" s="1">
        <f t="shared" si="1"/>
        <v>21</v>
      </c>
      <c r="U15" s="4" t="str">
        <f t="shared" si="2"/>
        <v/>
      </c>
      <c r="V15" s="4" t="e">
        <f>IF($V$3=$M$3,M15,U15*(1+'Tenure Split (Mid and SW Wales)'!C$109)+(U$44*(-(50-$T15)*('Tenure Split (Mid and SW Wales)'!C$110/40))))</f>
        <v>#VALUE!</v>
      </c>
      <c r="W15" s="4" t="e">
        <f>V15*(1+'Tenure Split (Mid and SW Wales)'!D$109)+(V$44*(-(50-$T15)*('Tenure Split (Mid and SW Wales)'!D$110/40)))</f>
        <v>#VALUE!</v>
      </c>
      <c r="X15" s="4" t="e">
        <f>W15*(1+'Tenure Split (Mid and SW Wales)'!E$109)+(W$44*(-(50-$T15)*('Tenure Split (Mid and SW Wales)'!E$110/40)))</f>
        <v>#VALUE!</v>
      </c>
      <c r="Y15" s="4" t="e">
        <f>X15*(1+'Tenure Split (Mid and SW Wales)'!F$109)+(X$44*(-(50-$T15)*('Tenure Split (Mid and SW Wales)'!F$110/40)))</f>
        <v>#VALUE!</v>
      </c>
      <c r="Z15" s="4" t="e">
        <f>Y15*(1+'Tenure Split (Mid and SW Wales)'!G$109)+(Y$44*(-(50-$T15)*('Tenure Split (Mid and SW Wales)'!G$110/40)))</f>
        <v>#VALUE!</v>
      </c>
      <c r="AB15" s="1">
        <v>21</v>
      </c>
      <c r="AC15" s="4">
        <f>IF('Tenure Split (WALES)'!$D$8="WG Estimates",'Income (Mid and SW Wales)'!D15,'Income (Mid and SW Wales)'!V15)</f>
        <v>15368.522987104849</v>
      </c>
      <c r="AD15" s="4">
        <f>IF('Tenure Split (WALES)'!$D$8="WG Estimates",'Income (Mid and SW Wales)'!E15,'Income (Mid and SW Wales)'!W15)</f>
        <v>15574.352496653913</v>
      </c>
      <c r="AE15" s="4">
        <f>IF('Tenure Split (WALES)'!$D$8="WG Estimates",'Income (Mid and SW Wales)'!F15,'Income (Mid and SW Wales)'!X15)</f>
        <v>15891.057109502273</v>
      </c>
      <c r="AF15" s="4">
        <f>IF('Tenure Split (WALES)'!$D$8="WG Estimates",'Income (Mid and SW Wales)'!G15,'Income (Mid and SW Wales)'!Y15)</f>
        <v>16279.839735225545</v>
      </c>
      <c r="AG15" s="4">
        <f>IF('Tenure Split (WALES)'!$D$8="WG Estimates",'Income (Mid and SW Wales)'!H15,'Income (Mid and SW Wales)'!Z15)</f>
        <v>16691.498254932136</v>
      </c>
    </row>
    <row r="16" spans="2:33" x14ac:dyDescent="0.25">
      <c r="B16" s="20">
        <v>22</v>
      </c>
      <c r="C16" s="58">
        <v>15091.5</v>
      </c>
      <c r="D16" s="59">
        <f>C16*(1+'Tenure Split (Mid and SW Wales)'!C$109)+(C$44*(-(50-$B16)*('Tenure Split (Mid and SW Wales)'!C$110/40)))</f>
        <v>15448.857468534807</v>
      </c>
      <c r="E16" s="59">
        <f>D16*(1+'Tenure Split (Mid and SW Wales)'!D$109)+(D$44*(-(50-$B16)*('Tenure Split (Mid and SW Wales)'!D$110/40)))</f>
        <v>15663.280527831086</v>
      </c>
      <c r="F16" s="59">
        <f>E16*(1+'Tenure Split (Mid and SW Wales)'!E$109)+(E$44*(-(50-$B16)*('Tenure Split (Mid and SW Wales)'!E$110/40)))</f>
        <v>15989.598146257829</v>
      </c>
      <c r="G16" s="59">
        <f>F16*(1+'Tenure Split (Mid and SW Wales)'!F$109)+(F$44*(-(50-$B16)*('Tenure Split (Mid and SW Wales)'!F$110/40)))</f>
        <v>16388.950794316705</v>
      </c>
      <c r="H16" s="60">
        <f>G16*(1+'Tenure Split (Mid and SW Wales)'!G$109)+(G$44*(-(50-$B16)*('Tenure Split (Mid and SW Wales)'!G$110/40)))</f>
        <v>16811.934336312832</v>
      </c>
      <c r="L16" s="64" t="str">
        <f t="shared" si="0"/>
        <v/>
      </c>
      <c r="M16" s="251"/>
      <c r="N16" s="14">
        <f t="shared" si="3"/>
        <v>1</v>
      </c>
      <c r="T16" s="1">
        <f t="shared" si="1"/>
        <v>22</v>
      </c>
      <c r="U16" s="4" t="str">
        <f t="shared" si="2"/>
        <v/>
      </c>
      <c r="V16" s="4" t="e">
        <f>IF($V$3=$M$3,M16,U16*(1+'Tenure Split (Mid and SW Wales)'!C$109)+(U$44*(-(50-$T16)*('Tenure Split (Mid and SW Wales)'!C$110/40))))</f>
        <v>#VALUE!</v>
      </c>
      <c r="W16" s="4" t="e">
        <f>V16*(1+'Tenure Split (Mid and SW Wales)'!D$109)+(V$44*(-(50-$T16)*('Tenure Split (Mid and SW Wales)'!D$110/40)))</f>
        <v>#VALUE!</v>
      </c>
      <c r="X16" s="4" t="e">
        <f>W16*(1+'Tenure Split (Mid and SW Wales)'!E$109)+(W$44*(-(50-$T16)*('Tenure Split (Mid and SW Wales)'!E$110/40)))</f>
        <v>#VALUE!</v>
      </c>
      <c r="Y16" s="4" t="e">
        <f>X16*(1+'Tenure Split (Mid and SW Wales)'!F$109)+(X$44*(-(50-$T16)*('Tenure Split (Mid and SW Wales)'!F$110/40)))</f>
        <v>#VALUE!</v>
      </c>
      <c r="Z16" s="4" t="e">
        <f>Y16*(1+'Tenure Split (Mid and SW Wales)'!G$109)+(Y$44*(-(50-$T16)*('Tenure Split (Mid and SW Wales)'!G$110/40)))</f>
        <v>#VALUE!</v>
      </c>
      <c r="AB16" s="1">
        <v>22</v>
      </c>
      <c r="AC16" s="4">
        <f>IF('Tenure Split (WALES)'!$D$8="WG Estimates",'Income (Mid and SW Wales)'!D16,'Income (Mid and SW Wales)'!V16)</f>
        <v>15448.857468534807</v>
      </c>
      <c r="AD16" s="4">
        <f>IF('Tenure Split (WALES)'!$D$8="WG Estimates",'Income (Mid and SW Wales)'!E16,'Income (Mid and SW Wales)'!W16)</f>
        <v>15663.280527831086</v>
      </c>
      <c r="AE16" s="4">
        <f>IF('Tenure Split (WALES)'!$D$8="WG Estimates",'Income (Mid and SW Wales)'!F16,'Income (Mid and SW Wales)'!X16)</f>
        <v>15989.598146257829</v>
      </c>
      <c r="AF16" s="4">
        <f>IF('Tenure Split (WALES)'!$D$8="WG Estimates",'Income (Mid and SW Wales)'!G16,'Income (Mid and SW Wales)'!Y16)</f>
        <v>16388.950794316705</v>
      </c>
      <c r="AG16" s="4">
        <f>IF('Tenure Split (WALES)'!$D$8="WG Estimates",'Income (Mid and SW Wales)'!H16,'Income (Mid and SW Wales)'!Z16)</f>
        <v>16811.934336312832</v>
      </c>
    </row>
    <row r="17" spans="2:33" x14ac:dyDescent="0.25">
      <c r="B17" s="20">
        <v>23</v>
      </c>
      <c r="C17" s="58">
        <v>15415</v>
      </c>
      <c r="D17" s="59">
        <f>C17*(1+'Tenure Split (Mid and SW Wales)'!C$109)+(C$44*(-(50-$B17)*('Tenure Split (Mid and SW Wales)'!C$110/40)))</f>
        <v>15790.107045354276</v>
      </c>
      <c r="E17" s="59">
        <f>D17*(1+'Tenure Split (Mid and SW Wales)'!D$109)+(D$44*(-(50-$B17)*('Tenure Split (Mid and SW Wales)'!D$110/40)))</f>
        <v>16019.832093158646</v>
      </c>
      <c r="F17" s="59">
        <f>E17*(1+'Tenure Split (Mid and SW Wales)'!E$109)+(E$44*(-(50-$B17)*('Tenure Split (Mid and SW Wales)'!E$110/40)))</f>
        <v>16364.541575045698</v>
      </c>
      <c r="G17" s="59">
        <f>F17*(1+'Tenure Split (Mid and SW Wales)'!F$109)+(F$44*(-(50-$B17)*('Tenure Split (Mid and SW Wales)'!F$110/40)))</f>
        <v>16784.714863798665</v>
      </c>
      <c r="H17" s="60">
        <f>G17*(1+'Tenure Split (Mid and SW Wales)'!G$109)+(G$44*(-(50-$B17)*('Tenure Split (Mid and SW Wales)'!G$110/40)))</f>
        <v>17229.934078908205</v>
      </c>
      <c r="L17" s="64" t="str">
        <f t="shared" si="0"/>
        <v/>
      </c>
      <c r="M17" s="251"/>
      <c r="N17" s="14">
        <f t="shared" si="3"/>
        <v>1</v>
      </c>
      <c r="T17" s="1">
        <f t="shared" si="1"/>
        <v>23</v>
      </c>
      <c r="U17" s="4" t="str">
        <f t="shared" si="2"/>
        <v/>
      </c>
      <c r="V17" s="4" t="e">
        <f>IF($V$3=$M$3,M17,U17*(1+'Tenure Split (Mid and SW Wales)'!C$109)+(U$44*(-(50-$T17)*('Tenure Split (Mid and SW Wales)'!C$110/40))))</f>
        <v>#VALUE!</v>
      </c>
      <c r="W17" s="4" t="e">
        <f>V17*(1+'Tenure Split (Mid and SW Wales)'!D$109)+(V$44*(-(50-$T17)*('Tenure Split (Mid and SW Wales)'!D$110/40)))</f>
        <v>#VALUE!</v>
      </c>
      <c r="X17" s="4" t="e">
        <f>W17*(1+'Tenure Split (Mid and SW Wales)'!E$109)+(W$44*(-(50-$T17)*('Tenure Split (Mid and SW Wales)'!E$110/40)))</f>
        <v>#VALUE!</v>
      </c>
      <c r="Y17" s="4" t="e">
        <f>X17*(1+'Tenure Split (Mid and SW Wales)'!F$109)+(X$44*(-(50-$T17)*('Tenure Split (Mid and SW Wales)'!F$110/40)))</f>
        <v>#VALUE!</v>
      </c>
      <c r="Z17" s="4" t="e">
        <f>Y17*(1+'Tenure Split (Mid and SW Wales)'!G$109)+(Y$44*(-(50-$T17)*('Tenure Split (Mid and SW Wales)'!G$110/40)))</f>
        <v>#VALUE!</v>
      </c>
      <c r="AB17" s="1">
        <v>23</v>
      </c>
      <c r="AC17" s="4">
        <f>IF('Tenure Split (WALES)'!$D$8="WG Estimates",'Income (Mid and SW Wales)'!D17,'Income (Mid and SW Wales)'!V17)</f>
        <v>15790.107045354276</v>
      </c>
      <c r="AD17" s="4">
        <f>IF('Tenure Split (WALES)'!$D$8="WG Estimates",'Income (Mid and SW Wales)'!E17,'Income (Mid and SW Wales)'!W17)</f>
        <v>16019.832093158646</v>
      </c>
      <c r="AE17" s="4">
        <f>IF('Tenure Split (WALES)'!$D$8="WG Estimates",'Income (Mid and SW Wales)'!F17,'Income (Mid and SW Wales)'!X17)</f>
        <v>16364.541575045698</v>
      </c>
      <c r="AF17" s="4">
        <f>IF('Tenure Split (WALES)'!$D$8="WG Estimates",'Income (Mid and SW Wales)'!G17,'Income (Mid and SW Wales)'!Y17)</f>
        <v>16784.714863798665</v>
      </c>
      <c r="AG17" s="4">
        <f>IF('Tenure Split (WALES)'!$D$8="WG Estimates",'Income (Mid and SW Wales)'!H17,'Income (Mid and SW Wales)'!Z17)</f>
        <v>17229.934078908205</v>
      </c>
    </row>
    <row r="18" spans="2:33" x14ac:dyDescent="0.25">
      <c r="B18" s="20">
        <v>24</v>
      </c>
      <c r="C18" s="58">
        <v>15700.5</v>
      </c>
      <c r="D18" s="59">
        <f>C18*(1+'Tenure Split (Mid and SW Wales)'!C$109)+(C$44*(-(50-$B18)*('Tenure Split (Mid and SW Wales)'!C$110/40)))</f>
        <v>16092.012282392787</v>
      </c>
      <c r="E18" s="59">
        <f>D18*(1+'Tenure Split (Mid and SW Wales)'!D$109)+(D$44*(-(50-$B18)*('Tenure Split (Mid and SW Wales)'!D$110/40)))</f>
        <v>16336.02772873337</v>
      </c>
      <c r="F18" s="59">
        <f>E18*(1+'Tenure Split (Mid and SW Wales)'!E$109)+(E$44*(-(50-$B18)*('Tenure Split (Mid and SW Wales)'!E$110/40)))</f>
        <v>16697.805278050913</v>
      </c>
      <c r="G18" s="59">
        <f>F18*(1+'Tenure Split (Mid and SW Wales)'!F$109)+(F$44*(-(50-$B18)*('Tenure Split (Mid and SW Wales)'!F$110/40)))</f>
        <v>17137.253479332805</v>
      </c>
      <c r="H18" s="60">
        <f>G18*(1+'Tenure Split (Mid and SW Wales)'!G$109)+(G$44*(-(50-$B18)*('Tenure Split (Mid and SW Wales)'!G$110/40)))</f>
        <v>17603.063110685496</v>
      </c>
      <c r="L18" s="64" t="str">
        <f t="shared" si="0"/>
        <v/>
      </c>
      <c r="M18" s="251"/>
      <c r="N18" s="14">
        <f t="shared" si="3"/>
        <v>1</v>
      </c>
      <c r="T18" s="1">
        <f t="shared" si="1"/>
        <v>24</v>
      </c>
      <c r="U18" s="4" t="str">
        <f t="shared" si="2"/>
        <v/>
      </c>
      <c r="V18" s="4" t="e">
        <f>IF($V$3=$M$3,M18,U18*(1+'Tenure Split (Mid and SW Wales)'!C$109)+(U$44*(-(50-$T18)*('Tenure Split (Mid and SW Wales)'!C$110/40))))</f>
        <v>#VALUE!</v>
      </c>
      <c r="W18" s="4" t="e">
        <f>V18*(1+'Tenure Split (Mid and SW Wales)'!D$109)+(V$44*(-(50-$T18)*('Tenure Split (Mid and SW Wales)'!D$110/40)))</f>
        <v>#VALUE!</v>
      </c>
      <c r="X18" s="4" t="e">
        <f>W18*(1+'Tenure Split (Mid and SW Wales)'!E$109)+(W$44*(-(50-$T18)*('Tenure Split (Mid and SW Wales)'!E$110/40)))</f>
        <v>#VALUE!</v>
      </c>
      <c r="Y18" s="4" t="e">
        <f>X18*(1+'Tenure Split (Mid and SW Wales)'!F$109)+(X$44*(-(50-$T18)*('Tenure Split (Mid and SW Wales)'!F$110/40)))</f>
        <v>#VALUE!</v>
      </c>
      <c r="Z18" s="4" t="e">
        <f>Y18*(1+'Tenure Split (Mid and SW Wales)'!G$109)+(Y$44*(-(50-$T18)*('Tenure Split (Mid and SW Wales)'!G$110/40)))</f>
        <v>#VALUE!</v>
      </c>
      <c r="AB18" s="1">
        <v>24</v>
      </c>
      <c r="AC18" s="4">
        <f>IF('Tenure Split (WALES)'!$D$8="WG Estimates",'Income (Mid and SW Wales)'!D18,'Income (Mid and SW Wales)'!V18)</f>
        <v>16092.012282392787</v>
      </c>
      <c r="AD18" s="4">
        <f>IF('Tenure Split (WALES)'!$D$8="WG Estimates",'Income (Mid and SW Wales)'!E18,'Income (Mid and SW Wales)'!W18)</f>
        <v>16336.02772873337</v>
      </c>
      <c r="AE18" s="4">
        <f>IF('Tenure Split (WALES)'!$D$8="WG Estimates",'Income (Mid and SW Wales)'!F18,'Income (Mid and SW Wales)'!X18)</f>
        <v>16697.805278050913</v>
      </c>
      <c r="AF18" s="4">
        <f>IF('Tenure Split (WALES)'!$D$8="WG Estimates",'Income (Mid and SW Wales)'!G18,'Income (Mid and SW Wales)'!Y18)</f>
        <v>17137.253479332805</v>
      </c>
      <c r="AG18" s="4">
        <f>IF('Tenure Split (WALES)'!$D$8="WG Estimates",'Income (Mid and SW Wales)'!H18,'Income (Mid and SW Wales)'!Z18)</f>
        <v>17603.063110685496</v>
      </c>
    </row>
    <row r="19" spans="2:33" x14ac:dyDescent="0.25">
      <c r="B19" s="20">
        <v>25</v>
      </c>
      <c r="C19" s="58">
        <v>15918.882799999999</v>
      </c>
      <c r="D19" s="59">
        <f>C19*(1+'Tenure Split (Mid and SW Wales)'!C$109)+(C$44*(-(50-$B19)*('Tenure Split (Mid and SW Wales)'!C$110/40)))</f>
        <v>16324.42588990639</v>
      </c>
      <c r="E19" s="59">
        <f>D19*(1+'Tenure Split (Mid and SW Wales)'!D$109)+(D$44*(-(50-$B19)*('Tenure Split (Mid and SW Wales)'!D$110/40)))</f>
        <v>16580.945021981592</v>
      </c>
      <c r="F19" s="59">
        <f>E19*(1+'Tenure Split (Mid and SW Wales)'!E$109)+(E$44*(-(50-$B19)*('Tenure Split (Mid and SW Wales)'!E$110/40)))</f>
        <v>16957.45249444299</v>
      </c>
      <c r="G19" s="59">
        <f>F19*(1+'Tenure Split (Mid and SW Wales)'!F$109)+(F$44*(-(50-$B19)*('Tenure Split (Mid and SW Wales)'!F$110/40)))</f>
        <v>17413.445478085196</v>
      </c>
      <c r="H19" s="60">
        <f>G19*(1+'Tenure Split (Mid and SW Wales)'!G$109)+(G$44*(-(50-$B19)*('Tenure Split (Mid and SW Wales)'!G$110/40)))</f>
        <v>17896.939603722796</v>
      </c>
      <c r="L19" s="64" t="str">
        <f t="shared" si="0"/>
        <v/>
      </c>
      <c r="M19" s="251"/>
      <c r="N19" s="14">
        <f t="shared" si="3"/>
        <v>1</v>
      </c>
      <c r="T19" s="1">
        <f t="shared" si="1"/>
        <v>25</v>
      </c>
      <c r="U19" s="4" t="str">
        <f t="shared" si="2"/>
        <v/>
      </c>
      <c r="V19" s="4" t="e">
        <f>IF($V$3=$M$3,M19,U19*(1+'Tenure Split (Mid and SW Wales)'!C$109)+(U$44*(-(50-$T19)*('Tenure Split (Mid and SW Wales)'!C$110/40))))</f>
        <v>#VALUE!</v>
      </c>
      <c r="W19" s="4" t="e">
        <f>V19*(1+'Tenure Split (Mid and SW Wales)'!D$109)+(V$44*(-(50-$T19)*('Tenure Split (Mid and SW Wales)'!D$110/40)))</f>
        <v>#VALUE!</v>
      </c>
      <c r="X19" s="4" t="e">
        <f>W19*(1+'Tenure Split (Mid and SW Wales)'!E$109)+(W$44*(-(50-$T19)*('Tenure Split (Mid and SW Wales)'!E$110/40)))</f>
        <v>#VALUE!</v>
      </c>
      <c r="Y19" s="4" t="e">
        <f>X19*(1+'Tenure Split (Mid and SW Wales)'!F$109)+(X$44*(-(50-$T19)*('Tenure Split (Mid and SW Wales)'!F$110/40)))</f>
        <v>#VALUE!</v>
      </c>
      <c r="Z19" s="4" t="e">
        <f>Y19*(1+'Tenure Split (Mid and SW Wales)'!G$109)+(Y$44*(-(50-$T19)*('Tenure Split (Mid and SW Wales)'!G$110/40)))</f>
        <v>#VALUE!</v>
      </c>
      <c r="AB19" s="1">
        <v>25</v>
      </c>
      <c r="AC19" s="4">
        <f>IF('Tenure Split (WALES)'!$D$8="WG Estimates",'Income (Mid and SW Wales)'!D19,'Income (Mid and SW Wales)'!V19)</f>
        <v>16324.42588990639</v>
      </c>
      <c r="AD19" s="4">
        <f>IF('Tenure Split (WALES)'!$D$8="WG Estimates",'Income (Mid and SW Wales)'!E19,'Income (Mid and SW Wales)'!W19)</f>
        <v>16580.945021981592</v>
      </c>
      <c r="AE19" s="4">
        <f>IF('Tenure Split (WALES)'!$D$8="WG Estimates",'Income (Mid and SW Wales)'!F19,'Income (Mid and SW Wales)'!X19)</f>
        <v>16957.45249444299</v>
      </c>
      <c r="AF19" s="4">
        <f>IF('Tenure Split (WALES)'!$D$8="WG Estimates",'Income (Mid and SW Wales)'!G19,'Income (Mid and SW Wales)'!Y19)</f>
        <v>17413.445478085196</v>
      </c>
      <c r="AG19" s="4">
        <f>IF('Tenure Split (WALES)'!$D$8="WG Estimates",'Income (Mid and SW Wales)'!H19,'Income (Mid and SW Wales)'!Z19)</f>
        <v>17896.939603722796</v>
      </c>
    </row>
    <row r="20" spans="2:33" x14ac:dyDescent="0.25">
      <c r="B20" s="20">
        <v>26</v>
      </c>
      <c r="C20" s="58">
        <v>16154.6</v>
      </c>
      <c r="D20" s="59">
        <f>C20*(1+'Tenure Split (Mid and SW Wales)'!C$109)+(C$44*(-(50-$B20)*('Tenure Split (Mid and SW Wales)'!C$110/40)))</f>
        <v>16574.787142775232</v>
      </c>
      <c r="E20" s="59">
        <f>D20*(1+'Tenure Split (Mid and SW Wales)'!D$109)+(D$44*(-(50-$B20)*('Tenure Split (Mid and SW Wales)'!D$110/40)))</f>
        <v>16844.271415985277</v>
      </c>
      <c r="F20" s="59">
        <f>E20*(1+'Tenure Split (Mid and SW Wales)'!E$109)+(E$44*(-(50-$B20)*('Tenure Split (Mid and SW Wales)'!E$110/40)))</f>
        <v>17236.112685535249</v>
      </c>
      <c r="G20" s="59">
        <f>F20*(1+'Tenure Split (Mid and SW Wales)'!F$109)+(F$44*(-(50-$B20)*('Tenure Split (Mid and SW Wales)'!F$110/40)))</f>
        <v>17709.355563914247</v>
      </c>
      <c r="H20" s="60">
        <f>G20*(1+'Tenure Split (Mid and SW Wales)'!G$109)+(G$44*(-(50-$B20)*('Tenure Split (Mid and SW Wales)'!G$110/40)))</f>
        <v>18211.28469806549</v>
      </c>
      <c r="L20" s="64" t="str">
        <f t="shared" si="0"/>
        <v/>
      </c>
      <c r="M20" s="251"/>
      <c r="N20" s="14">
        <f t="shared" si="3"/>
        <v>1</v>
      </c>
      <c r="T20" s="1">
        <f t="shared" si="1"/>
        <v>26</v>
      </c>
      <c r="U20" s="4" t="str">
        <f t="shared" si="2"/>
        <v/>
      </c>
      <c r="V20" s="4" t="e">
        <f>IF($V$3=$M$3,M20,U20*(1+'Tenure Split (Mid and SW Wales)'!C$109)+(U$44*(-(50-$T20)*('Tenure Split (Mid and SW Wales)'!C$110/40))))</f>
        <v>#VALUE!</v>
      </c>
      <c r="W20" s="4" t="e">
        <f>V20*(1+'Tenure Split (Mid and SW Wales)'!D$109)+(V$44*(-(50-$T20)*('Tenure Split (Mid and SW Wales)'!D$110/40)))</f>
        <v>#VALUE!</v>
      </c>
      <c r="X20" s="4" t="e">
        <f>W20*(1+'Tenure Split (Mid and SW Wales)'!E$109)+(W$44*(-(50-$T20)*('Tenure Split (Mid and SW Wales)'!E$110/40)))</f>
        <v>#VALUE!</v>
      </c>
      <c r="Y20" s="4" t="e">
        <f>X20*(1+'Tenure Split (Mid and SW Wales)'!F$109)+(X$44*(-(50-$T20)*('Tenure Split (Mid and SW Wales)'!F$110/40)))</f>
        <v>#VALUE!</v>
      </c>
      <c r="Z20" s="4" t="e">
        <f>Y20*(1+'Tenure Split (Mid and SW Wales)'!G$109)+(Y$44*(-(50-$T20)*('Tenure Split (Mid and SW Wales)'!G$110/40)))</f>
        <v>#VALUE!</v>
      </c>
      <c r="AB20" s="1">
        <v>26</v>
      </c>
      <c r="AC20" s="4">
        <f>IF('Tenure Split (WALES)'!$D$8="WG Estimates",'Income (Mid and SW Wales)'!D20,'Income (Mid and SW Wales)'!V20)</f>
        <v>16574.787142775232</v>
      </c>
      <c r="AD20" s="4">
        <f>IF('Tenure Split (WALES)'!$D$8="WG Estimates",'Income (Mid and SW Wales)'!E20,'Income (Mid and SW Wales)'!W20)</f>
        <v>16844.271415985277</v>
      </c>
      <c r="AE20" s="4">
        <f>IF('Tenure Split (WALES)'!$D$8="WG Estimates",'Income (Mid and SW Wales)'!F20,'Income (Mid and SW Wales)'!X20)</f>
        <v>17236.112685535249</v>
      </c>
      <c r="AF20" s="4">
        <f>IF('Tenure Split (WALES)'!$D$8="WG Estimates",'Income (Mid and SW Wales)'!G20,'Income (Mid and SW Wales)'!Y20)</f>
        <v>17709.355563914247</v>
      </c>
      <c r="AG20" s="4">
        <f>IF('Tenure Split (WALES)'!$D$8="WG Estimates",'Income (Mid and SW Wales)'!H20,'Income (Mid and SW Wales)'!Z20)</f>
        <v>18211.28469806549</v>
      </c>
    </row>
    <row r="21" spans="2:33" x14ac:dyDescent="0.25">
      <c r="B21" s="20">
        <v>27</v>
      </c>
      <c r="C21" s="58">
        <v>16447.5</v>
      </c>
      <c r="D21" s="59">
        <f>C21*(1+'Tenure Split (Mid and SW Wales)'!C$109)+(C$44*(-(50-$B21)*('Tenure Split (Mid and SW Wales)'!C$110/40)))</f>
        <v>16884.354172297404</v>
      </c>
      <c r="E21" s="59">
        <f>D21*(1+'Tenure Split (Mid and SW Wales)'!D$109)+(D$44*(-(50-$B21)*('Tenure Split (Mid and SW Wales)'!D$110/40)))</f>
        <v>17168.325837880289</v>
      </c>
      <c r="F21" s="59">
        <f>E21*(1+'Tenure Split (Mid and SW Wales)'!E$109)+(E$44*(-(50-$B21)*('Tenure Split (Mid and SW Wales)'!E$110/40)))</f>
        <v>17577.492966719186</v>
      </c>
      <c r="G21" s="59">
        <f>F21*(1+'Tenure Split (Mid and SW Wales)'!F$109)+(F$44*(-(50-$B21)*('Tenure Split (Mid and SW Wales)'!F$110/40)))</f>
        <v>18070.311767848747</v>
      </c>
      <c r="H21" s="60">
        <f>G21*(1+'Tenure Split (Mid and SW Wales)'!G$109)+(G$44*(-(50-$B21)*('Tenure Split (Mid and SW Wales)'!G$110/40)))</f>
        <v>18593.151710370508</v>
      </c>
      <c r="L21" s="64" t="str">
        <f t="shared" si="0"/>
        <v/>
      </c>
      <c r="M21" s="251"/>
      <c r="N21" s="14">
        <f t="shared" si="3"/>
        <v>1</v>
      </c>
      <c r="T21" s="1">
        <f t="shared" si="1"/>
        <v>27</v>
      </c>
      <c r="U21" s="4" t="str">
        <f t="shared" si="2"/>
        <v/>
      </c>
      <c r="V21" s="4" t="e">
        <f>IF($V$3=$M$3,M21,U21*(1+'Tenure Split (Mid and SW Wales)'!C$109)+(U$44*(-(50-$T21)*('Tenure Split (Mid and SW Wales)'!C$110/40))))</f>
        <v>#VALUE!</v>
      </c>
      <c r="W21" s="4" t="e">
        <f>V21*(1+'Tenure Split (Mid and SW Wales)'!D$109)+(V$44*(-(50-$T21)*('Tenure Split (Mid and SW Wales)'!D$110/40)))</f>
        <v>#VALUE!</v>
      </c>
      <c r="X21" s="4" t="e">
        <f>W21*(1+'Tenure Split (Mid and SW Wales)'!E$109)+(W$44*(-(50-$T21)*('Tenure Split (Mid and SW Wales)'!E$110/40)))</f>
        <v>#VALUE!</v>
      </c>
      <c r="Y21" s="4" t="e">
        <f>X21*(1+'Tenure Split (Mid and SW Wales)'!F$109)+(X$44*(-(50-$T21)*('Tenure Split (Mid and SW Wales)'!F$110/40)))</f>
        <v>#VALUE!</v>
      </c>
      <c r="Z21" s="4" t="e">
        <f>Y21*(1+'Tenure Split (Mid and SW Wales)'!G$109)+(Y$44*(-(50-$T21)*('Tenure Split (Mid and SW Wales)'!G$110/40)))</f>
        <v>#VALUE!</v>
      </c>
      <c r="AB21" s="1">
        <v>27</v>
      </c>
      <c r="AC21" s="4">
        <f>IF('Tenure Split (WALES)'!$D$8="WG Estimates",'Income (Mid and SW Wales)'!D21,'Income (Mid and SW Wales)'!V21)</f>
        <v>16884.354172297404</v>
      </c>
      <c r="AD21" s="4">
        <f>IF('Tenure Split (WALES)'!$D$8="WG Estimates",'Income (Mid and SW Wales)'!E21,'Income (Mid and SW Wales)'!W21)</f>
        <v>17168.325837880289</v>
      </c>
      <c r="AE21" s="4">
        <f>IF('Tenure Split (WALES)'!$D$8="WG Estimates",'Income (Mid and SW Wales)'!F21,'Income (Mid and SW Wales)'!X21)</f>
        <v>17577.492966719186</v>
      </c>
      <c r="AF21" s="4">
        <f>IF('Tenure Split (WALES)'!$D$8="WG Estimates",'Income (Mid and SW Wales)'!G21,'Income (Mid and SW Wales)'!Y21)</f>
        <v>18070.311767848747</v>
      </c>
      <c r="AG21" s="4">
        <f>IF('Tenure Split (WALES)'!$D$8="WG Estimates",'Income (Mid and SW Wales)'!H21,'Income (Mid and SW Wales)'!Z21)</f>
        <v>18593.151710370508</v>
      </c>
    </row>
    <row r="22" spans="2:33" x14ac:dyDescent="0.25">
      <c r="B22" s="20">
        <v>28</v>
      </c>
      <c r="C22" s="58">
        <v>16793.2</v>
      </c>
      <c r="D22" s="59">
        <f>C22*(1+'Tenure Split (Mid and SW Wales)'!C$109)+(C$44*(-(50-$B22)*('Tenure Split (Mid and SW Wales)'!C$110/40)))</f>
        <v>17248.589126567855</v>
      </c>
      <c r="E22" s="59">
        <f>D22*(1+'Tenure Split (Mid and SW Wales)'!D$109)+(D$44*(-(50-$B22)*('Tenure Split (Mid and SW Wales)'!D$110/40)))</f>
        <v>17548.453762168716</v>
      </c>
      <c r="F22" s="59">
        <f>E22*(1+'Tenure Split (Mid and SW Wales)'!E$109)+(E$44*(-(50-$B22)*('Tenure Split (Mid and SW Wales)'!E$110/40)))</f>
        <v>17976.786130043234</v>
      </c>
      <c r="G22" s="59">
        <f>F22*(1+'Tenure Split (Mid and SW Wales)'!F$109)+(F$44*(-(50-$B22)*('Tenure Split (Mid and SW Wales)'!F$110/40)))</f>
        <v>18491.328602531805</v>
      </c>
      <c r="H22" s="60">
        <f>G22*(1+'Tenure Split (Mid and SW Wales)'!G$109)+(G$44*(-(50-$B22)*('Tenure Split (Mid and SW Wales)'!G$110/40)))</f>
        <v>19037.365394549088</v>
      </c>
      <c r="L22" s="64" t="str">
        <f t="shared" si="0"/>
        <v/>
      </c>
      <c r="M22" s="251"/>
      <c r="N22" s="14">
        <f t="shared" si="3"/>
        <v>1</v>
      </c>
      <c r="T22" s="1">
        <f t="shared" si="1"/>
        <v>28</v>
      </c>
      <c r="U22" s="4" t="str">
        <f t="shared" si="2"/>
        <v/>
      </c>
      <c r="V22" s="4" t="e">
        <f>IF($V$3=$M$3,M22,U22*(1+'Tenure Split (Mid and SW Wales)'!C$109)+(U$44*(-(50-$T22)*('Tenure Split (Mid and SW Wales)'!C$110/40))))</f>
        <v>#VALUE!</v>
      </c>
      <c r="W22" s="4" t="e">
        <f>V22*(1+'Tenure Split (Mid and SW Wales)'!D$109)+(V$44*(-(50-$T22)*('Tenure Split (Mid and SW Wales)'!D$110/40)))</f>
        <v>#VALUE!</v>
      </c>
      <c r="X22" s="4" t="e">
        <f>W22*(1+'Tenure Split (Mid and SW Wales)'!E$109)+(W$44*(-(50-$T22)*('Tenure Split (Mid and SW Wales)'!E$110/40)))</f>
        <v>#VALUE!</v>
      </c>
      <c r="Y22" s="4" t="e">
        <f>X22*(1+'Tenure Split (Mid and SW Wales)'!F$109)+(X$44*(-(50-$T22)*('Tenure Split (Mid and SW Wales)'!F$110/40)))</f>
        <v>#VALUE!</v>
      </c>
      <c r="Z22" s="4" t="e">
        <f>Y22*(1+'Tenure Split (Mid and SW Wales)'!G$109)+(Y$44*(-(50-$T22)*('Tenure Split (Mid and SW Wales)'!G$110/40)))</f>
        <v>#VALUE!</v>
      </c>
      <c r="AB22" s="1">
        <v>28</v>
      </c>
      <c r="AC22" s="4">
        <f>IF('Tenure Split (WALES)'!$D$8="WG Estimates",'Income (Mid and SW Wales)'!D22,'Income (Mid and SW Wales)'!V22)</f>
        <v>17248.589126567855</v>
      </c>
      <c r="AD22" s="4">
        <f>IF('Tenure Split (WALES)'!$D$8="WG Estimates",'Income (Mid and SW Wales)'!E22,'Income (Mid and SW Wales)'!W22)</f>
        <v>17548.453762168716</v>
      </c>
      <c r="AE22" s="4">
        <f>IF('Tenure Split (WALES)'!$D$8="WG Estimates",'Income (Mid and SW Wales)'!F22,'Income (Mid and SW Wales)'!X22)</f>
        <v>17976.786130043234</v>
      </c>
      <c r="AF22" s="4">
        <f>IF('Tenure Split (WALES)'!$D$8="WG Estimates",'Income (Mid and SW Wales)'!G22,'Income (Mid and SW Wales)'!Y22)</f>
        <v>18491.328602531805</v>
      </c>
      <c r="AG22" s="4">
        <f>IF('Tenure Split (WALES)'!$D$8="WG Estimates",'Income (Mid and SW Wales)'!H22,'Income (Mid and SW Wales)'!Z22)</f>
        <v>19037.365394549088</v>
      </c>
    </row>
    <row r="23" spans="2:33" x14ac:dyDescent="0.25">
      <c r="B23" s="20">
        <v>29</v>
      </c>
      <c r="C23" s="58">
        <v>17083.75</v>
      </c>
      <c r="D23" s="59">
        <f>C23*(1+'Tenure Split (Mid and SW Wales)'!C$109)+(C$44*(-(50-$B23)*('Tenure Split (Mid and SW Wales)'!C$110/40)))</f>
        <v>17555.72301928778</v>
      </c>
      <c r="E23" s="59">
        <f>D23*(1+'Tenure Split (Mid and SW Wales)'!D$109)+(D$44*(-(50-$B23)*('Tenure Split (Mid and SW Wales)'!D$110/40)))</f>
        <v>17870.01248840796</v>
      </c>
      <c r="F23" s="59">
        <f>E23*(1+'Tenure Split (Mid and SW Wales)'!E$109)+(E$44*(-(50-$B23)*('Tenure Split (Mid and SW Wales)'!E$110/40)))</f>
        <v>18315.588849237985</v>
      </c>
      <c r="G23" s="59">
        <f>F23*(1+'Tenure Split (Mid and SW Wales)'!F$109)+(F$44*(-(50-$B23)*('Tenure Split (Mid and SW Wales)'!F$110/40)))</f>
        <v>18849.611653393218</v>
      </c>
      <c r="H23" s="60">
        <f>G23*(1+'Tenure Split (Mid and SW Wales)'!G$109)+(G$44*(-(50-$B23)*('Tenure Split (Mid and SW Wales)'!G$110/40)))</f>
        <v>19416.457507632458</v>
      </c>
      <c r="L23" s="64" t="str">
        <f t="shared" si="0"/>
        <v/>
      </c>
      <c r="M23" s="251"/>
      <c r="N23" s="14">
        <f t="shared" si="3"/>
        <v>1</v>
      </c>
      <c r="T23" s="1">
        <f t="shared" si="1"/>
        <v>29</v>
      </c>
      <c r="U23" s="4" t="str">
        <f t="shared" si="2"/>
        <v/>
      </c>
      <c r="V23" s="4" t="e">
        <f>IF($V$3=$M$3,M23,U23*(1+'Tenure Split (Mid and SW Wales)'!C$109)+(U$44*(-(50-$T23)*('Tenure Split (Mid and SW Wales)'!C$110/40))))</f>
        <v>#VALUE!</v>
      </c>
      <c r="W23" s="4" t="e">
        <f>V23*(1+'Tenure Split (Mid and SW Wales)'!D$109)+(V$44*(-(50-$T23)*('Tenure Split (Mid and SW Wales)'!D$110/40)))</f>
        <v>#VALUE!</v>
      </c>
      <c r="X23" s="4" t="e">
        <f>W23*(1+'Tenure Split (Mid and SW Wales)'!E$109)+(W$44*(-(50-$T23)*('Tenure Split (Mid and SW Wales)'!E$110/40)))</f>
        <v>#VALUE!</v>
      </c>
      <c r="Y23" s="4" t="e">
        <f>X23*(1+'Tenure Split (Mid and SW Wales)'!F$109)+(X$44*(-(50-$T23)*('Tenure Split (Mid and SW Wales)'!F$110/40)))</f>
        <v>#VALUE!</v>
      </c>
      <c r="Z23" s="4" t="e">
        <f>Y23*(1+'Tenure Split (Mid and SW Wales)'!G$109)+(Y$44*(-(50-$T23)*('Tenure Split (Mid and SW Wales)'!G$110/40)))</f>
        <v>#VALUE!</v>
      </c>
      <c r="AB23" s="1">
        <v>29</v>
      </c>
      <c r="AC23" s="4">
        <f>IF('Tenure Split (WALES)'!$D$8="WG Estimates",'Income (Mid and SW Wales)'!D23,'Income (Mid and SW Wales)'!V23)</f>
        <v>17555.72301928778</v>
      </c>
      <c r="AD23" s="4">
        <f>IF('Tenure Split (WALES)'!$D$8="WG Estimates",'Income (Mid and SW Wales)'!E23,'Income (Mid and SW Wales)'!W23)</f>
        <v>17870.01248840796</v>
      </c>
      <c r="AE23" s="4">
        <f>IF('Tenure Split (WALES)'!$D$8="WG Estimates",'Income (Mid and SW Wales)'!F23,'Income (Mid and SW Wales)'!X23)</f>
        <v>18315.588849237985</v>
      </c>
      <c r="AF23" s="4">
        <f>IF('Tenure Split (WALES)'!$D$8="WG Estimates",'Income (Mid and SW Wales)'!G23,'Income (Mid and SW Wales)'!Y23)</f>
        <v>18849.611653393218</v>
      </c>
      <c r="AG23" s="4">
        <f>IF('Tenure Split (WALES)'!$D$8="WG Estimates",'Income (Mid and SW Wales)'!H23,'Income (Mid and SW Wales)'!Z23)</f>
        <v>19416.457507632458</v>
      </c>
    </row>
    <row r="24" spans="2:33" x14ac:dyDescent="0.25">
      <c r="B24" s="20">
        <v>30</v>
      </c>
      <c r="C24" s="58">
        <v>17419</v>
      </c>
      <c r="D24" s="59">
        <f>C24*(1+'Tenure Split (Mid and SW Wales)'!C$109)+(C$44*(-(50-$B24)*('Tenure Split (Mid and SW Wales)'!C$110/40)))</f>
        <v>17909.138280118466</v>
      </c>
      <c r="E24" s="59">
        <f>D24*(1+'Tenure Split (Mid and SW Wales)'!D$109)+(D$44*(-(50-$B24)*('Tenure Split (Mid and SW Wales)'!D$110/40)))</f>
        <v>18239.042532014351</v>
      </c>
      <c r="F24" s="59">
        <f>E24*(1+'Tenure Split (Mid and SW Wales)'!E$109)+(E$44*(-(50-$B24)*('Tenure Split (Mid and SW Wales)'!E$110/40)))</f>
        <v>18703.420087971797</v>
      </c>
      <c r="G24" s="59">
        <f>F24*(1+'Tenure Split (Mid and SW Wales)'!F$109)+(F$44*(-(50-$B24)*('Tenure Split (Mid and SW Wales)'!F$110/40)))</f>
        <v>19258.741488240616</v>
      </c>
      <c r="H24" s="60">
        <f>G24*(1+'Tenure Split (Mid and SW Wales)'!G$109)+(G$44*(-(50-$B24)*('Tenure Split (Mid and SW Wales)'!G$110/40)))</f>
        <v>19848.331746336051</v>
      </c>
      <c r="L24" s="64" t="str">
        <f t="shared" si="0"/>
        <v/>
      </c>
      <c r="M24" s="251"/>
      <c r="N24" s="14">
        <f t="shared" si="3"/>
        <v>1</v>
      </c>
      <c r="T24" s="1">
        <f t="shared" si="1"/>
        <v>30</v>
      </c>
      <c r="U24" s="4" t="str">
        <f t="shared" si="2"/>
        <v/>
      </c>
      <c r="V24" s="4" t="e">
        <f>IF($V$3=$M$3,M24,U24*(1+'Tenure Split (Mid and SW Wales)'!C$109)+(U$44*(-(50-$T24)*('Tenure Split (Mid and SW Wales)'!C$110/40))))</f>
        <v>#VALUE!</v>
      </c>
      <c r="W24" s="4" t="e">
        <f>V24*(1+'Tenure Split (Mid and SW Wales)'!D$109)+(V$44*(-(50-$T24)*('Tenure Split (Mid and SW Wales)'!D$110/40)))</f>
        <v>#VALUE!</v>
      </c>
      <c r="X24" s="4" t="e">
        <f>W24*(1+'Tenure Split (Mid and SW Wales)'!E$109)+(W$44*(-(50-$T24)*('Tenure Split (Mid and SW Wales)'!E$110/40)))</f>
        <v>#VALUE!</v>
      </c>
      <c r="Y24" s="4" t="e">
        <f>X24*(1+'Tenure Split (Mid and SW Wales)'!F$109)+(X$44*(-(50-$T24)*('Tenure Split (Mid and SW Wales)'!F$110/40)))</f>
        <v>#VALUE!</v>
      </c>
      <c r="Z24" s="4" t="e">
        <f>Y24*(1+'Tenure Split (Mid and SW Wales)'!G$109)+(Y$44*(-(50-$T24)*('Tenure Split (Mid and SW Wales)'!G$110/40)))</f>
        <v>#VALUE!</v>
      </c>
      <c r="AB24" s="1">
        <v>30</v>
      </c>
      <c r="AC24" s="4">
        <f>IF('Tenure Split (WALES)'!$D$8="WG Estimates",'Income (Mid and SW Wales)'!D24,'Income (Mid and SW Wales)'!V24)</f>
        <v>17909.138280118466</v>
      </c>
      <c r="AD24" s="4">
        <f>IF('Tenure Split (WALES)'!$D$8="WG Estimates",'Income (Mid and SW Wales)'!E24,'Income (Mid and SW Wales)'!W24)</f>
        <v>18239.042532014351</v>
      </c>
      <c r="AE24" s="4">
        <f>IF('Tenure Split (WALES)'!$D$8="WG Estimates",'Income (Mid and SW Wales)'!F24,'Income (Mid and SW Wales)'!X24)</f>
        <v>18703.420087971797</v>
      </c>
      <c r="AF24" s="4">
        <f>IF('Tenure Split (WALES)'!$D$8="WG Estimates",'Income (Mid and SW Wales)'!G24,'Income (Mid and SW Wales)'!Y24)</f>
        <v>19258.741488240616</v>
      </c>
      <c r="AG24" s="4">
        <f>IF('Tenure Split (WALES)'!$D$8="WG Estimates",'Income (Mid and SW Wales)'!H24,'Income (Mid and SW Wales)'!Z24)</f>
        <v>19848.331746336051</v>
      </c>
    </row>
    <row r="25" spans="2:33" x14ac:dyDescent="0.25">
      <c r="B25" s="20">
        <v>31</v>
      </c>
      <c r="C25" s="58">
        <v>17655.5</v>
      </c>
      <c r="D25" s="59">
        <f>C25*(1+'Tenure Split (Mid and SW Wales)'!C$109)+(C$44*(-(50-$B25)*('Tenure Split (Mid and SW Wales)'!C$110/40)))</f>
        <v>18160.310026386796</v>
      </c>
      <c r="E25" s="59">
        <f>D25*(1+'Tenure Split (Mid and SW Wales)'!D$109)+(D$44*(-(50-$B25)*('Tenure Split (Mid and SW Wales)'!D$110/40)))</f>
        <v>18503.200258170949</v>
      </c>
      <c r="F25" s="59">
        <f>E25*(1+'Tenure Split (Mid and SW Wales)'!E$109)+(E$44*(-(50-$B25)*('Tenure Split (Mid and SW Wales)'!E$110/40)))</f>
        <v>18982.938881415179</v>
      </c>
      <c r="G25" s="59">
        <f>F25*(1+'Tenure Split (Mid and SW Wales)'!F$109)+(F$44*(-(50-$B25)*('Tenure Split (Mid and SW Wales)'!F$110/40)))</f>
        <v>19555.542018420994</v>
      </c>
      <c r="H25" s="60">
        <f>G25*(1+'Tenure Split (Mid and SW Wales)'!G$109)+(G$44*(-(50-$B25)*('Tenure Split (Mid and SW Wales)'!G$110/40)))</f>
        <v>20163.601177321605</v>
      </c>
      <c r="L25" s="64" t="str">
        <f t="shared" si="0"/>
        <v/>
      </c>
      <c r="M25" s="251"/>
      <c r="N25" s="14">
        <f t="shared" si="3"/>
        <v>1</v>
      </c>
      <c r="T25" s="1">
        <f t="shared" si="1"/>
        <v>31</v>
      </c>
      <c r="U25" s="4" t="str">
        <f t="shared" si="2"/>
        <v/>
      </c>
      <c r="V25" s="4" t="e">
        <f>IF($V$3=$M$3,M25,U25*(1+'Tenure Split (Mid and SW Wales)'!C$109)+(U$44*(-(50-$T25)*('Tenure Split (Mid and SW Wales)'!C$110/40))))</f>
        <v>#VALUE!</v>
      </c>
      <c r="W25" s="4" t="e">
        <f>V25*(1+'Tenure Split (Mid and SW Wales)'!D$109)+(V$44*(-(50-$T25)*('Tenure Split (Mid and SW Wales)'!D$110/40)))</f>
        <v>#VALUE!</v>
      </c>
      <c r="X25" s="4" t="e">
        <f>W25*(1+'Tenure Split (Mid and SW Wales)'!E$109)+(W$44*(-(50-$T25)*('Tenure Split (Mid and SW Wales)'!E$110/40)))</f>
        <v>#VALUE!</v>
      </c>
      <c r="Y25" s="4" t="e">
        <f>X25*(1+'Tenure Split (Mid and SW Wales)'!F$109)+(X$44*(-(50-$T25)*('Tenure Split (Mid and SW Wales)'!F$110/40)))</f>
        <v>#VALUE!</v>
      </c>
      <c r="Z25" s="4" t="e">
        <f>Y25*(1+'Tenure Split (Mid and SW Wales)'!G$109)+(Y$44*(-(50-$T25)*('Tenure Split (Mid and SW Wales)'!G$110/40)))</f>
        <v>#VALUE!</v>
      </c>
      <c r="AB25" s="1">
        <v>31</v>
      </c>
      <c r="AC25" s="4">
        <f>IF('Tenure Split (WALES)'!$D$8="WG Estimates",'Income (Mid and SW Wales)'!D25,'Income (Mid and SW Wales)'!V25)</f>
        <v>18160.310026386796</v>
      </c>
      <c r="AD25" s="4">
        <f>IF('Tenure Split (WALES)'!$D$8="WG Estimates",'Income (Mid and SW Wales)'!E25,'Income (Mid and SW Wales)'!W25)</f>
        <v>18503.200258170949</v>
      </c>
      <c r="AE25" s="4">
        <f>IF('Tenure Split (WALES)'!$D$8="WG Estimates",'Income (Mid and SW Wales)'!F25,'Income (Mid and SW Wales)'!X25)</f>
        <v>18982.938881415179</v>
      </c>
      <c r="AF25" s="4">
        <f>IF('Tenure Split (WALES)'!$D$8="WG Estimates",'Income (Mid and SW Wales)'!G25,'Income (Mid and SW Wales)'!Y25)</f>
        <v>19555.542018420994</v>
      </c>
      <c r="AG25" s="4">
        <f>IF('Tenure Split (WALES)'!$D$8="WG Estimates",'Income (Mid and SW Wales)'!H25,'Income (Mid and SW Wales)'!Z25)</f>
        <v>20163.601177321605</v>
      </c>
    </row>
    <row r="26" spans="2:33" x14ac:dyDescent="0.25">
      <c r="B26" s="20">
        <v>32</v>
      </c>
      <c r="C26" s="58">
        <v>18080</v>
      </c>
      <c r="D26" s="59">
        <f>C26*(1+'Tenure Split (Mid and SW Wales)'!C$109)+(C$44*(-(50-$B26)*('Tenure Split (Mid and SW Wales)'!C$110/40)))</f>
        <v>18606.132716834596</v>
      </c>
      <c r="E26" s="59">
        <f>D26*(1+'Tenure Split (Mid and SW Wales)'!D$109)+(D$44*(-(50-$B26)*('Tenure Split (Mid and SW Wales)'!D$110/40)))</f>
        <v>18967.013636788935</v>
      </c>
      <c r="F26" s="59">
        <f>E26*(1+'Tenure Split (Mid and SW Wales)'!E$109)+(E$44*(-(50-$B26)*('Tenure Split (Mid and SW Wales)'!E$110/40)))</f>
        <v>19468.662633993768</v>
      </c>
      <c r="G26" s="59">
        <f>F26*(1+'Tenure Split (Mid and SW Wales)'!F$109)+(F$44*(-(50-$B26)*('Tenure Split (Mid and SW Wales)'!F$110/40)))</f>
        <v>20066.194794448467</v>
      </c>
      <c r="H26" s="60">
        <f>G26*(1+'Tenure Split (Mid and SW Wales)'!G$109)+(G$44*(-(50-$B26)*('Tenure Split (Mid and SW Wales)'!G$110/40)))</f>
        <v>20700.86254603873</v>
      </c>
      <c r="L26" s="64" t="str">
        <f t="shared" si="0"/>
        <v/>
      </c>
      <c r="M26" s="251"/>
      <c r="N26" s="14">
        <f t="shared" si="3"/>
        <v>1</v>
      </c>
      <c r="T26" s="1">
        <f t="shared" si="1"/>
        <v>32</v>
      </c>
      <c r="U26" s="4" t="str">
        <f t="shared" si="2"/>
        <v/>
      </c>
      <c r="V26" s="4" t="e">
        <f>IF($V$3=$M$3,M26,U26*(1+'Tenure Split (Mid and SW Wales)'!C$109)+(U$44*(-(50-$T26)*('Tenure Split (Mid and SW Wales)'!C$110/40))))</f>
        <v>#VALUE!</v>
      </c>
      <c r="W26" s="4" t="e">
        <f>V26*(1+'Tenure Split (Mid and SW Wales)'!D$109)+(V$44*(-(50-$T26)*('Tenure Split (Mid and SW Wales)'!D$110/40)))</f>
        <v>#VALUE!</v>
      </c>
      <c r="X26" s="4" t="e">
        <f>W26*(1+'Tenure Split (Mid and SW Wales)'!E$109)+(W$44*(-(50-$T26)*('Tenure Split (Mid and SW Wales)'!E$110/40)))</f>
        <v>#VALUE!</v>
      </c>
      <c r="Y26" s="4" t="e">
        <f>X26*(1+'Tenure Split (Mid and SW Wales)'!F$109)+(X$44*(-(50-$T26)*('Tenure Split (Mid and SW Wales)'!F$110/40)))</f>
        <v>#VALUE!</v>
      </c>
      <c r="Z26" s="4" t="e">
        <f>Y26*(1+'Tenure Split (Mid and SW Wales)'!G$109)+(Y$44*(-(50-$T26)*('Tenure Split (Mid and SW Wales)'!G$110/40)))</f>
        <v>#VALUE!</v>
      </c>
      <c r="AB26" s="1">
        <v>32</v>
      </c>
      <c r="AC26" s="4">
        <f>IF('Tenure Split (WALES)'!$D$8="WG Estimates",'Income (Mid and SW Wales)'!D26,'Income (Mid and SW Wales)'!V26)</f>
        <v>18606.132716834596</v>
      </c>
      <c r="AD26" s="4">
        <f>IF('Tenure Split (WALES)'!$D$8="WG Estimates",'Income (Mid and SW Wales)'!E26,'Income (Mid and SW Wales)'!W26)</f>
        <v>18967.013636788935</v>
      </c>
      <c r="AE26" s="4">
        <f>IF('Tenure Split (WALES)'!$D$8="WG Estimates",'Income (Mid and SW Wales)'!F26,'Income (Mid and SW Wales)'!X26)</f>
        <v>19468.662633993768</v>
      </c>
      <c r="AF26" s="4">
        <f>IF('Tenure Split (WALES)'!$D$8="WG Estimates",'Income (Mid and SW Wales)'!G26,'Income (Mid and SW Wales)'!Y26)</f>
        <v>20066.194794448467</v>
      </c>
      <c r="AG26" s="4">
        <f>IF('Tenure Split (WALES)'!$D$8="WG Estimates",'Income (Mid and SW Wales)'!H26,'Income (Mid and SW Wales)'!Z26)</f>
        <v>20700.86254603873</v>
      </c>
    </row>
    <row r="27" spans="2:33" x14ac:dyDescent="0.25">
      <c r="B27" s="20">
        <v>33</v>
      </c>
      <c r="C27" s="58">
        <v>18412.5</v>
      </c>
      <c r="D27" s="59">
        <f>C27*(1+'Tenure Split (Mid and SW Wales)'!C$109)+(C$44*(-(50-$B27)*('Tenure Split (Mid and SW Wales)'!C$110/40)))</f>
        <v>18956.700689917976</v>
      </c>
      <c r="E27" s="59">
        <f>D27*(1+'Tenure Split (Mid and SW Wales)'!D$109)+(D$44*(-(50-$B27)*('Tenure Split (Mid and SW Wales)'!D$110/40)))</f>
        <v>19333.123185479009</v>
      </c>
      <c r="F27" s="59">
        <f>E27*(1+'Tenure Split (Mid and SW Wales)'!E$109)+(E$44*(-(50-$B27)*('Tenure Split (Mid and SW Wales)'!E$110/40)))</f>
        <v>19853.477576782785</v>
      </c>
      <c r="G27" s="59">
        <f>F27*(1+'Tenure Split (Mid and SW Wales)'!F$109)+(F$44*(-(50-$B27)*('Tenure Split (Mid and SW Wales)'!F$110/40)))</f>
        <v>20472.196471444382</v>
      </c>
      <c r="H27" s="60">
        <f>G27*(1+'Tenure Split (Mid and SW Wales)'!G$109)+(G$44*(-(50-$B27)*('Tenure Split (Mid and SW Wales)'!G$110/40)))</f>
        <v>21129.489562248913</v>
      </c>
      <c r="L27" s="64" t="str">
        <f t="shared" si="0"/>
        <v/>
      </c>
      <c r="M27" s="251"/>
      <c r="N27" s="14">
        <f t="shared" si="3"/>
        <v>1</v>
      </c>
      <c r="T27" s="1">
        <f t="shared" si="1"/>
        <v>33</v>
      </c>
      <c r="U27" s="4" t="str">
        <f t="shared" si="2"/>
        <v/>
      </c>
      <c r="V27" s="4" t="e">
        <f>IF($V$3=$M$3,M27,U27*(1+'Tenure Split (Mid and SW Wales)'!C$109)+(U$44*(-(50-$T27)*('Tenure Split (Mid and SW Wales)'!C$110/40))))</f>
        <v>#VALUE!</v>
      </c>
      <c r="W27" s="4" t="e">
        <f>V27*(1+'Tenure Split (Mid and SW Wales)'!D$109)+(V$44*(-(50-$T27)*('Tenure Split (Mid and SW Wales)'!D$110/40)))</f>
        <v>#VALUE!</v>
      </c>
      <c r="X27" s="4" t="e">
        <f>W27*(1+'Tenure Split (Mid and SW Wales)'!E$109)+(W$44*(-(50-$T27)*('Tenure Split (Mid and SW Wales)'!E$110/40)))</f>
        <v>#VALUE!</v>
      </c>
      <c r="Y27" s="4" t="e">
        <f>X27*(1+'Tenure Split (Mid and SW Wales)'!F$109)+(X$44*(-(50-$T27)*('Tenure Split (Mid and SW Wales)'!F$110/40)))</f>
        <v>#VALUE!</v>
      </c>
      <c r="Z27" s="4" t="e">
        <f>Y27*(1+'Tenure Split (Mid and SW Wales)'!G$109)+(Y$44*(-(50-$T27)*('Tenure Split (Mid and SW Wales)'!G$110/40)))</f>
        <v>#VALUE!</v>
      </c>
      <c r="AB27" s="1">
        <v>33</v>
      </c>
      <c r="AC27" s="4">
        <f>IF('Tenure Split (WALES)'!$D$8="WG Estimates",'Income (Mid and SW Wales)'!D27,'Income (Mid and SW Wales)'!V27)</f>
        <v>18956.700689917976</v>
      </c>
      <c r="AD27" s="4">
        <f>IF('Tenure Split (WALES)'!$D$8="WG Estimates",'Income (Mid and SW Wales)'!E27,'Income (Mid and SW Wales)'!W27)</f>
        <v>19333.123185479009</v>
      </c>
      <c r="AE27" s="4">
        <f>IF('Tenure Split (WALES)'!$D$8="WG Estimates",'Income (Mid and SW Wales)'!F27,'Income (Mid and SW Wales)'!X27)</f>
        <v>19853.477576782785</v>
      </c>
      <c r="AF27" s="4">
        <f>IF('Tenure Split (WALES)'!$D$8="WG Estimates",'Income (Mid and SW Wales)'!G27,'Income (Mid and SW Wales)'!Y27)</f>
        <v>20472.196471444382</v>
      </c>
      <c r="AG27" s="4">
        <f>IF('Tenure Split (WALES)'!$D$8="WG Estimates",'Income (Mid and SW Wales)'!H27,'Income (Mid and SW Wales)'!Z27)</f>
        <v>21129.489562248913</v>
      </c>
    </row>
    <row r="28" spans="2:33" x14ac:dyDescent="0.25">
      <c r="B28" s="20">
        <v>34</v>
      </c>
      <c r="C28" s="58">
        <v>18765</v>
      </c>
      <c r="D28" s="59">
        <f>C28*(1+'Tenure Split (Mid and SW Wales)'!C$109)+(C$44*(-(50-$B28)*('Tenure Split (Mid and SW Wales)'!C$110/40)))</f>
        <v>19327.976210254492</v>
      </c>
      <c r="E28" s="59">
        <f>D28*(1+'Tenure Split (Mid and SW Wales)'!D$109)+(D$44*(-(50-$B28)*('Tenure Split (Mid and SW Wales)'!D$110/40)))</f>
        <v>19720.472697196892</v>
      </c>
      <c r="F28" s="59">
        <f>E28*(1+'Tenure Split (Mid and SW Wales)'!E$109)+(E$44*(-(50-$B28)*('Tenure Split (Mid and SW Wales)'!E$110/40)))</f>
        <v>20260.229217352149</v>
      </c>
      <c r="G28" s="59">
        <f>F28*(1+'Tenure Split (Mid and SW Wales)'!F$109)+(F$44*(-(50-$B28)*('Tenure Split (Mid and SW Wales)'!F$110/40)))</f>
        <v>20900.948387360208</v>
      </c>
      <c r="H28" s="60">
        <f>G28*(1+'Tenure Split (Mid and SW Wales)'!G$109)+(G$44*(-(50-$B28)*('Tenure Split (Mid and SW Wales)'!G$110/40)))</f>
        <v>21581.73274204757</v>
      </c>
      <c r="L28" s="64" t="str">
        <f t="shared" si="0"/>
        <v/>
      </c>
      <c r="M28" s="251"/>
      <c r="N28" s="14">
        <f t="shared" si="3"/>
        <v>1</v>
      </c>
      <c r="T28" s="1">
        <f t="shared" si="1"/>
        <v>34</v>
      </c>
      <c r="U28" s="4" t="str">
        <f t="shared" si="2"/>
        <v/>
      </c>
      <c r="V28" s="4" t="e">
        <f>IF($V$3=$M$3,M28,U28*(1+'Tenure Split (Mid and SW Wales)'!C$109)+(U$44*(-(50-$T28)*('Tenure Split (Mid and SW Wales)'!C$110/40))))</f>
        <v>#VALUE!</v>
      </c>
      <c r="W28" s="4" t="e">
        <f>V28*(1+'Tenure Split (Mid and SW Wales)'!D$109)+(V$44*(-(50-$T28)*('Tenure Split (Mid and SW Wales)'!D$110/40)))</f>
        <v>#VALUE!</v>
      </c>
      <c r="X28" s="4" t="e">
        <f>W28*(1+'Tenure Split (Mid and SW Wales)'!E$109)+(W$44*(-(50-$T28)*('Tenure Split (Mid and SW Wales)'!E$110/40)))</f>
        <v>#VALUE!</v>
      </c>
      <c r="Y28" s="4" t="e">
        <f>X28*(1+'Tenure Split (Mid and SW Wales)'!F$109)+(X$44*(-(50-$T28)*('Tenure Split (Mid and SW Wales)'!F$110/40)))</f>
        <v>#VALUE!</v>
      </c>
      <c r="Z28" s="4" t="e">
        <f>Y28*(1+'Tenure Split (Mid and SW Wales)'!G$109)+(Y$44*(-(50-$T28)*('Tenure Split (Mid and SW Wales)'!G$110/40)))</f>
        <v>#VALUE!</v>
      </c>
      <c r="AB28" s="1">
        <v>34</v>
      </c>
      <c r="AC28" s="4">
        <f>IF('Tenure Split (WALES)'!$D$8="WG Estimates",'Income (Mid and SW Wales)'!D28,'Income (Mid and SW Wales)'!V28)</f>
        <v>19327.976210254492</v>
      </c>
      <c r="AD28" s="4">
        <f>IF('Tenure Split (WALES)'!$D$8="WG Estimates",'Income (Mid and SW Wales)'!E28,'Income (Mid and SW Wales)'!W28)</f>
        <v>19720.472697196892</v>
      </c>
      <c r="AE28" s="4">
        <f>IF('Tenure Split (WALES)'!$D$8="WG Estimates",'Income (Mid and SW Wales)'!F28,'Income (Mid and SW Wales)'!X28)</f>
        <v>20260.229217352149</v>
      </c>
      <c r="AF28" s="4">
        <f>IF('Tenure Split (WALES)'!$D$8="WG Estimates",'Income (Mid and SW Wales)'!G28,'Income (Mid and SW Wales)'!Y28)</f>
        <v>20900.948387360208</v>
      </c>
      <c r="AG28" s="4">
        <f>IF('Tenure Split (WALES)'!$D$8="WG Estimates",'Income (Mid and SW Wales)'!H28,'Income (Mid and SW Wales)'!Z28)</f>
        <v>21581.73274204757</v>
      </c>
    </row>
    <row r="29" spans="2:33" x14ac:dyDescent="0.25">
      <c r="B29" s="20">
        <v>35</v>
      </c>
      <c r="C29" s="58">
        <v>19097</v>
      </c>
      <c r="D29" s="59">
        <f>C29*(1+'Tenure Split (Mid and SW Wales)'!C$109)+(C$44*(-(50-$B29)*('Tenure Split (Mid and SW Wales)'!C$110/40)))</f>
        <v>19678.026494656544</v>
      </c>
      <c r="E29" s="59">
        <f>D29*(1+'Tenure Split (Mid and SW Wales)'!D$109)+(D$44*(-(50-$B29)*('Tenure Split (Mid and SW Wales)'!D$110/40)))</f>
        <v>20086.051246811265</v>
      </c>
      <c r="F29" s="59">
        <f>E29*(1+'Tenure Split (Mid and SW Wales)'!E$109)+(E$44*(-(50-$B29)*('Tenure Split (Mid and SW Wales)'!E$110/40)))</f>
        <v>20644.495742696654</v>
      </c>
      <c r="G29" s="59">
        <f>F29*(1+'Tenure Split (Mid and SW Wales)'!F$109)+(F$44*(-(50-$B29)*('Tenure Split (Mid and SW Wales)'!F$110/40)))</f>
        <v>21306.381308383119</v>
      </c>
      <c r="H29" s="60">
        <f>G29*(1+'Tenure Split (Mid and SW Wales)'!G$109)+(G$44*(-(50-$B29)*('Tenure Split (Mid and SW Wales)'!G$110/40)))</f>
        <v>22009.769354168035</v>
      </c>
      <c r="L29" s="64" t="str">
        <f t="shared" si="0"/>
        <v/>
      </c>
      <c r="M29" s="251"/>
      <c r="N29" s="14">
        <f t="shared" si="3"/>
        <v>1</v>
      </c>
      <c r="T29" s="1">
        <f t="shared" si="1"/>
        <v>35</v>
      </c>
      <c r="U29" s="4" t="str">
        <f t="shared" si="2"/>
        <v/>
      </c>
      <c r="V29" s="4" t="e">
        <f>IF($V$3=$M$3,M29,U29*(1+'Tenure Split (Mid and SW Wales)'!C$109)+(U$44*(-(50-$T29)*('Tenure Split (Mid and SW Wales)'!C$110/40))))</f>
        <v>#VALUE!</v>
      </c>
      <c r="W29" s="4" t="e">
        <f>V29*(1+'Tenure Split (Mid and SW Wales)'!D$109)+(V$44*(-(50-$T29)*('Tenure Split (Mid and SW Wales)'!D$110/40)))</f>
        <v>#VALUE!</v>
      </c>
      <c r="X29" s="4" t="e">
        <f>W29*(1+'Tenure Split (Mid and SW Wales)'!E$109)+(W$44*(-(50-$T29)*('Tenure Split (Mid and SW Wales)'!E$110/40)))</f>
        <v>#VALUE!</v>
      </c>
      <c r="Y29" s="4" t="e">
        <f>X29*(1+'Tenure Split (Mid and SW Wales)'!F$109)+(X$44*(-(50-$T29)*('Tenure Split (Mid and SW Wales)'!F$110/40)))</f>
        <v>#VALUE!</v>
      </c>
      <c r="Z29" s="4" t="e">
        <f>Y29*(1+'Tenure Split (Mid and SW Wales)'!G$109)+(Y$44*(-(50-$T29)*('Tenure Split (Mid and SW Wales)'!G$110/40)))</f>
        <v>#VALUE!</v>
      </c>
      <c r="AB29" s="1">
        <v>35</v>
      </c>
      <c r="AC29" s="4">
        <f>IF('Tenure Split (WALES)'!$D$8="WG Estimates",'Income (Mid and SW Wales)'!D29,'Income (Mid and SW Wales)'!V29)</f>
        <v>19678.026494656544</v>
      </c>
      <c r="AD29" s="4">
        <f>IF('Tenure Split (WALES)'!$D$8="WG Estimates",'Income (Mid and SW Wales)'!E29,'Income (Mid and SW Wales)'!W29)</f>
        <v>20086.051246811265</v>
      </c>
      <c r="AE29" s="4">
        <f>IF('Tenure Split (WALES)'!$D$8="WG Estimates",'Income (Mid and SW Wales)'!F29,'Income (Mid and SW Wales)'!X29)</f>
        <v>20644.495742696654</v>
      </c>
      <c r="AF29" s="4">
        <f>IF('Tenure Split (WALES)'!$D$8="WG Estimates",'Income (Mid and SW Wales)'!G29,'Income (Mid and SW Wales)'!Y29)</f>
        <v>21306.381308383119</v>
      </c>
      <c r="AG29" s="4">
        <f>IF('Tenure Split (WALES)'!$D$8="WG Estimates",'Income (Mid and SW Wales)'!H29,'Income (Mid and SW Wales)'!Z29)</f>
        <v>22009.769354168035</v>
      </c>
    </row>
    <row r="30" spans="2:33" x14ac:dyDescent="0.25">
      <c r="B30" s="20">
        <v>36</v>
      </c>
      <c r="C30" s="58">
        <v>19366</v>
      </c>
      <c r="D30" s="59">
        <f>C30*(1+'Tenure Split (Mid and SW Wales)'!C$109)+(C$44*(-(50-$B30)*('Tenure Split (Mid and SW Wales)'!C$110/40)))</f>
        <v>19962.848005211217</v>
      </c>
      <c r="E30" s="59">
        <f>D30*(1+'Tenure Split (Mid and SW Wales)'!D$109)+(D$44*(-(50-$B30)*('Tenure Split (Mid and SW Wales)'!D$110/40)))</f>
        <v>20384.723912888046</v>
      </c>
      <c r="F30" s="59">
        <f>E30*(1+'Tenure Split (Mid and SW Wales)'!E$109)+(E$44*(-(50-$B30)*('Tenure Split (Mid and SW Wales)'!E$110/40)))</f>
        <v>20959.661670033089</v>
      </c>
      <c r="G30" s="59">
        <f>F30*(1+'Tenure Split (Mid and SW Wales)'!F$109)+(F$44*(-(50-$B30)*('Tenure Split (Mid and SW Wales)'!F$110/40)))</f>
        <v>21640.150976808338</v>
      </c>
      <c r="H30" s="60">
        <f>G30*(1+'Tenure Split (Mid and SW Wales)'!G$109)+(G$44*(-(50-$B30)*('Tenure Split (Mid and SW Wales)'!G$110/40)))</f>
        <v>22363.41505098484</v>
      </c>
      <c r="L30" s="64" t="str">
        <f t="shared" si="0"/>
        <v/>
      </c>
      <c r="M30" s="251"/>
      <c r="N30" s="14">
        <f t="shared" si="3"/>
        <v>1</v>
      </c>
      <c r="T30" s="1">
        <f t="shared" si="1"/>
        <v>36</v>
      </c>
      <c r="U30" s="4" t="str">
        <f t="shared" si="2"/>
        <v/>
      </c>
      <c r="V30" s="4" t="e">
        <f>IF($V$3=$M$3,M30,U30*(1+'Tenure Split (Mid and SW Wales)'!C$109)+(U$44*(-(50-$T30)*('Tenure Split (Mid and SW Wales)'!C$110/40))))</f>
        <v>#VALUE!</v>
      </c>
      <c r="W30" s="4" t="e">
        <f>V30*(1+'Tenure Split (Mid and SW Wales)'!D$109)+(V$44*(-(50-$T30)*('Tenure Split (Mid and SW Wales)'!D$110/40)))</f>
        <v>#VALUE!</v>
      </c>
      <c r="X30" s="4" t="e">
        <f>W30*(1+'Tenure Split (Mid and SW Wales)'!E$109)+(W$44*(-(50-$T30)*('Tenure Split (Mid and SW Wales)'!E$110/40)))</f>
        <v>#VALUE!</v>
      </c>
      <c r="Y30" s="4" t="e">
        <f>X30*(1+'Tenure Split (Mid and SW Wales)'!F$109)+(X$44*(-(50-$T30)*('Tenure Split (Mid and SW Wales)'!F$110/40)))</f>
        <v>#VALUE!</v>
      </c>
      <c r="Z30" s="4" t="e">
        <f>Y30*(1+'Tenure Split (Mid and SW Wales)'!G$109)+(Y$44*(-(50-$T30)*('Tenure Split (Mid and SW Wales)'!G$110/40)))</f>
        <v>#VALUE!</v>
      </c>
      <c r="AB30" s="1">
        <v>36</v>
      </c>
      <c r="AC30" s="4">
        <f>IF('Tenure Split (WALES)'!$D$8="WG Estimates",'Income (Mid and SW Wales)'!D30,'Income (Mid and SW Wales)'!V30)</f>
        <v>19962.848005211217</v>
      </c>
      <c r="AD30" s="4">
        <f>IF('Tenure Split (WALES)'!$D$8="WG Estimates",'Income (Mid and SW Wales)'!E30,'Income (Mid and SW Wales)'!W30)</f>
        <v>20384.723912888046</v>
      </c>
      <c r="AE30" s="4">
        <f>IF('Tenure Split (WALES)'!$D$8="WG Estimates",'Income (Mid and SW Wales)'!F30,'Income (Mid and SW Wales)'!X30)</f>
        <v>20959.661670033089</v>
      </c>
      <c r="AF30" s="4">
        <f>IF('Tenure Split (WALES)'!$D$8="WG Estimates",'Income (Mid and SW Wales)'!G30,'Income (Mid and SW Wales)'!Y30)</f>
        <v>21640.150976808338</v>
      </c>
      <c r="AG30" s="4">
        <f>IF('Tenure Split (WALES)'!$D$8="WG Estimates",'Income (Mid and SW Wales)'!H30,'Income (Mid and SW Wales)'!Z30)</f>
        <v>22363.41505098484</v>
      </c>
    </row>
    <row r="31" spans="2:33" x14ac:dyDescent="0.25">
      <c r="B31" s="20">
        <v>37</v>
      </c>
      <c r="C31" s="58">
        <v>19666</v>
      </c>
      <c r="D31" s="59">
        <f>C31*(1+'Tenure Split (Mid and SW Wales)'!C$109)+(C$44*(-(50-$B31)*('Tenure Split (Mid and SW Wales)'!C$110/40)))</f>
        <v>20279.76621400825</v>
      </c>
      <c r="E31" s="59">
        <f>D31*(1+'Tenure Split (Mid and SW Wales)'!D$109)+(D$44*(-(50-$B31)*('Tenure Split (Mid and SW Wales)'!D$110/40)))</f>
        <v>20716.31852165793</v>
      </c>
      <c r="F31" s="59">
        <f>E31*(1+'Tenure Split (Mid and SW Wales)'!E$109)+(E$44*(-(50-$B31)*('Tenure Split (Mid and SW Wales)'!E$110/40)))</f>
        <v>21308.829478929052</v>
      </c>
      <c r="G31" s="59">
        <f>F31*(1+'Tenure Split (Mid and SW Wales)'!F$109)+(F$44*(-(50-$B31)*('Tenure Split (Mid and SW Wales)'!F$110/40)))</f>
        <v>22009.183515559413</v>
      </c>
      <c r="H31" s="60">
        <f>G31*(1+'Tenure Split (Mid and SW Wales)'!G$109)+(G$44*(-(50-$B31)*('Tenure Split (Mid and SW Wales)'!G$110/40)))</f>
        <v>22753.665801363768</v>
      </c>
      <c r="L31" s="64" t="str">
        <f t="shared" si="0"/>
        <v/>
      </c>
      <c r="M31" s="251"/>
      <c r="N31" s="14">
        <f t="shared" si="3"/>
        <v>1</v>
      </c>
      <c r="T31" s="1">
        <f t="shared" si="1"/>
        <v>37</v>
      </c>
      <c r="U31" s="4" t="str">
        <f t="shared" si="2"/>
        <v/>
      </c>
      <c r="V31" s="4" t="e">
        <f>IF($V$3=$M$3,M31,U31*(1+'Tenure Split (Mid and SW Wales)'!C$109)+(U$44*(-(50-$T31)*('Tenure Split (Mid and SW Wales)'!C$110/40))))</f>
        <v>#VALUE!</v>
      </c>
      <c r="W31" s="4" t="e">
        <f>V31*(1+'Tenure Split (Mid and SW Wales)'!D$109)+(V$44*(-(50-$T31)*('Tenure Split (Mid and SW Wales)'!D$110/40)))</f>
        <v>#VALUE!</v>
      </c>
      <c r="X31" s="4" t="e">
        <f>W31*(1+'Tenure Split (Mid and SW Wales)'!E$109)+(W$44*(-(50-$T31)*('Tenure Split (Mid and SW Wales)'!E$110/40)))</f>
        <v>#VALUE!</v>
      </c>
      <c r="Y31" s="4" t="e">
        <f>X31*(1+'Tenure Split (Mid and SW Wales)'!F$109)+(X$44*(-(50-$T31)*('Tenure Split (Mid and SW Wales)'!F$110/40)))</f>
        <v>#VALUE!</v>
      </c>
      <c r="Z31" s="4" t="e">
        <f>Y31*(1+'Tenure Split (Mid and SW Wales)'!G$109)+(Y$44*(-(50-$T31)*('Tenure Split (Mid and SW Wales)'!G$110/40)))</f>
        <v>#VALUE!</v>
      </c>
      <c r="AB31" s="1">
        <v>37</v>
      </c>
      <c r="AC31" s="4">
        <f>IF('Tenure Split (WALES)'!$D$8="WG Estimates",'Income (Mid and SW Wales)'!D31,'Income (Mid and SW Wales)'!V31)</f>
        <v>20279.76621400825</v>
      </c>
      <c r="AD31" s="4">
        <f>IF('Tenure Split (WALES)'!$D$8="WG Estimates",'Income (Mid and SW Wales)'!E31,'Income (Mid and SW Wales)'!W31)</f>
        <v>20716.31852165793</v>
      </c>
      <c r="AE31" s="4">
        <f>IF('Tenure Split (WALES)'!$D$8="WG Estimates",'Income (Mid and SW Wales)'!F31,'Income (Mid and SW Wales)'!X31)</f>
        <v>21308.829478929052</v>
      </c>
      <c r="AF31" s="4">
        <f>IF('Tenure Split (WALES)'!$D$8="WG Estimates",'Income (Mid and SW Wales)'!G31,'Income (Mid and SW Wales)'!Y31)</f>
        <v>22009.183515559413</v>
      </c>
      <c r="AG31" s="4">
        <f>IF('Tenure Split (WALES)'!$D$8="WG Estimates",'Income (Mid and SW Wales)'!H31,'Income (Mid and SW Wales)'!Z31)</f>
        <v>22753.665801363768</v>
      </c>
    </row>
    <row r="32" spans="2:33" x14ac:dyDescent="0.25">
      <c r="B32" s="20">
        <v>38</v>
      </c>
      <c r="C32" s="58">
        <v>20091</v>
      </c>
      <c r="D32" s="59">
        <f>C32*(1+'Tenure Split (Mid and SW Wales)'!C$109)+(C$44*(-(50-$B32)*('Tenure Split (Mid and SW Wales)'!C$110/40)))</f>
        <v>20726.106593137385</v>
      </c>
      <c r="E32" s="59">
        <f>D32*(1+'Tenure Split (Mid and SW Wales)'!D$109)+(D$44*(-(50-$B32)*('Tenure Split (Mid and SW Wales)'!D$110/40)))</f>
        <v>21180.662899351621</v>
      </c>
      <c r="F32" s="59">
        <f>E32*(1+'Tenure Split (Mid and SW Wales)'!E$109)+(E$44*(-(50-$B32)*('Tenure Split (Mid and SW Wales)'!E$110/40)))</f>
        <v>21795.101648952157</v>
      </c>
      <c r="G32" s="59">
        <f>F32*(1+'Tenure Split (Mid and SW Wales)'!F$109)+(F$44*(-(50-$B32)*('Tenure Split (Mid and SW Wales)'!F$110/40)))</f>
        <v>22520.405047559889</v>
      </c>
      <c r="H32" s="60">
        <f>G32*(1+'Tenure Split (Mid and SW Wales)'!G$109)+(G$44*(-(50-$B32)*('Tenure Split (Mid and SW Wales)'!G$110/40)))</f>
        <v>23291.517574170615</v>
      </c>
      <c r="L32" s="64" t="str">
        <f t="shared" si="0"/>
        <v/>
      </c>
      <c r="M32" s="251"/>
      <c r="N32" s="14">
        <f t="shared" si="3"/>
        <v>1</v>
      </c>
      <c r="T32" s="1">
        <f t="shared" si="1"/>
        <v>38</v>
      </c>
      <c r="U32" s="4" t="str">
        <f t="shared" si="2"/>
        <v/>
      </c>
      <c r="V32" s="4" t="e">
        <f>IF($V$3=$M$3,M32,U32*(1+'Tenure Split (Mid and SW Wales)'!C$109)+(U$44*(-(50-$T32)*('Tenure Split (Mid and SW Wales)'!C$110/40))))</f>
        <v>#VALUE!</v>
      </c>
      <c r="W32" s="4" t="e">
        <f>V32*(1+'Tenure Split (Mid and SW Wales)'!D$109)+(V$44*(-(50-$T32)*('Tenure Split (Mid and SW Wales)'!D$110/40)))</f>
        <v>#VALUE!</v>
      </c>
      <c r="X32" s="4" t="e">
        <f>W32*(1+'Tenure Split (Mid and SW Wales)'!E$109)+(W$44*(-(50-$T32)*('Tenure Split (Mid and SW Wales)'!E$110/40)))</f>
        <v>#VALUE!</v>
      </c>
      <c r="Y32" s="4" t="e">
        <f>X32*(1+'Tenure Split (Mid and SW Wales)'!F$109)+(X$44*(-(50-$T32)*('Tenure Split (Mid and SW Wales)'!F$110/40)))</f>
        <v>#VALUE!</v>
      </c>
      <c r="Z32" s="4" t="e">
        <f>Y32*(1+'Tenure Split (Mid and SW Wales)'!G$109)+(Y$44*(-(50-$T32)*('Tenure Split (Mid and SW Wales)'!G$110/40)))</f>
        <v>#VALUE!</v>
      </c>
      <c r="AB32" s="1">
        <v>38</v>
      </c>
      <c r="AC32" s="4">
        <f>IF('Tenure Split (WALES)'!$D$8="WG Estimates",'Income (Mid and SW Wales)'!D32,'Income (Mid and SW Wales)'!V32)</f>
        <v>20726.106593137385</v>
      </c>
      <c r="AD32" s="4">
        <f>IF('Tenure Split (WALES)'!$D$8="WG Estimates",'Income (Mid and SW Wales)'!E32,'Income (Mid and SW Wales)'!W32)</f>
        <v>21180.662899351621</v>
      </c>
      <c r="AE32" s="4">
        <f>IF('Tenure Split (WALES)'!$D$8="WG Estimates",'Income (Mid and SW Wales)'!F32,'Income (Mid and SW Wales)'!X32)</f>
        <v>21795.101648952157</v>
      </c>
      <c r="AF32" s="4">
        <f>IF('Tenure Split (WALES)'!$D$8="WG Estimates",'Income (Mid and SW Wales)'!G32,'Income (Mid and SW Wales)'!Y32)</f>
        <v>22520.405047559889</v>
      </c>
      <c r="AG32" s="4">
        <f>IF('Tenure Split (WALES)'!$D$8="WG Estimates",'Income (Mid and SW Wales)'!H32,'Income (Mid and SW Wales)'!Z32)</f>
        <v>23291.517574170615</v>
      </c>
    </row>
    <row r="33" spans="2:33" x14ac:dyDescent="0.25">
      <c r="B33" s="20">
        <v>39</v>
      </c>
      <c r="C33" s="58">
        <v>20575</v>
      </c>
      <c r="D33" s="59">
        <f>C33*(1+'Tenure Split (Mid and SW Wales)'!C$109)+(C$44*(-(50-$B33)*('Tenure Split (Mid and SW Wales)'!C$110/40)))</f>
        <v>21233.534236663265</v>
      </c>
      <c r="E33" s="59">
        <f>D33*(1+'Tenure Split (Mid and SW Wales)'!D$109)+(D$44*(-(50-$B33)*('Tenure Split (Mid and SW Wales)'!D$110/40)))</f>
        <v>21707.665167977335</v>
      </c>
      <c r="F33" s="59">
        <f>E33*(1+'Tenure Split (Mid and SW Wales)'!E$109)+(E$44*(-(50-$B33)*('Tenure Split (Mid and SW Wales)'!E$110/40)))</f>
        <v>22346.087077427255</v>
      </c>
      <c r="G33" s="59">
        <f>F33*(1+'Tenure Split (Mid and SW Wales)'!F$109)+(F$44*(-(50-$B33)*('Tenure Split (Mid and SW Wales)'!F$110/40)))</f>
        <v>23098.739784374073</v>
      </c>
      <c r="H33" s="60">
        <f>G33*(1+'Tenure Split (Mid and SW Wales)'!G$109)+(G$44*(-(50-$B33)*('Tenure Split (Mid and SW Wales)'!G$110/40)))</f>
        <v>23899.037029563424</v>
      </c>
      <c r="L33" s="64" t="str">
        <f t="shared" si="0"/>
        <v/>
      </c>
      <c r="M33" s="251"/>
      <c r="N33" s="14">
        <f t="shared" si="3"/>
        <v>1</v>
      </c>
      <c r="T33" s="1">
        <f t="shared" si="1"/>
        <v>39</v>
      </c>
      <c r="U33" s="4" t="str">
        <f t="shared" si="2"/>
        <v/>
      </c>
      <c r="V33" s="4" t="e">
        <f>IF($V$3=$M$3,M33,U33*(1+'Tenure Split (Mid and SW Wales)'!C$109)+(U$44*(-(50-$T33)*('Tenure Split (Mid and SW Wales)'!C$110/40))))</f>
        <v>#VALUE!</v>
      </c>
      <c r="W33" s="4" t="e">
        <f>V33*(1+'Tenure Split (Mid and SW Wales)'!D$109)+(V$44*(-(50-$T33)*('Tenure Split (Mid and SW Wales)'!D$110/40)))</f>
        <v>#VALUE!</v>
      </c>
      <c r="X33" s="4" t="e">
        <f>W33*(1+'Tenure Split (Mid and SW Wales)'!E$109)+(W$44*(-(50-$T33)*('Tenure Split (Mid and SW Wales)'!E$110/40)))</f>
        <v>#VALUE!</v>
      </c>
      <c r="Y33" s="4" t="e">
        <f>X33*(1+'Tenure Split (Mid and SW Wales)'!F$109)+(X$44*(-(50-$T33)*('Tenure Split (Mid and SW Wales)'!F$110/40)))</f>
        <v>#VALUE!</v>
      </c>
      <c r="Z33" s="4" t="e">
        <f>Y33*(1+'Tenure Split (Mid and SW Wales)'!G$109)+(Y$44*(-(50-$T33)*('Tenure Split (Mid and SW Wales)'!G$110/40)))</f>
        <v>#VALUE!</v>
      </c>
      <c r="AB33" s="1">
        <v>39</v>
      </c>
      <c r="AC33" s="4">
        <f>IF('Tenure Split (WALES)'!$D$8="WG Estimates",'Income (Mid and SW Wales)'!D33,'Income (Mid and SW Wales)'!V33)</f>
        <v>21233.534236663265</v>
      </c>
      <c r="AD33" s="4">
        <f>IF('Tenure Split (WALES)'!$D$8="WG Estimates",'Income (Mid and SW Wales)'!E33,'Income (Mid and SW Wales)'!W33)</f>
        <v>21707.665167977335</v>
      </c>
      <c r="AE33" s="4">
        <f>IF('Tenure Split (WALES)'!$D$8="WG Estimates",'Income (Mid and SW Wales)'!F33,'Income (Mid and SW Wales)'!X33)</f>
        <v>22346.087077427255</v>
      </c>
      <c r="AF33" s="4">
        <f>IF('Tenure Split (WALES)'!$D$8="WG Estimates",'Income (Mid and SW Wales)'!G33,'Income (Mid and SW Wales)'!Y33)</f>
        <v>23098.739784374073</v>
      </c>
      <c r="AG33" s="4">
        <f>IF('Tenure Split (WALES)'!$D$8="WG Estimates",'Income (Mid and SW Wales)'!H33,'Income (Mid and SW Wales)'!Z33)</f>
        <v>23899.037029563424</v>
      </c>
    </row>
    <row r="34" spans="2:33" x14ac:dyDescent="0.25">
      <c r="B34" s="20">
        <v>40</v>
      </c>
      <c r="C34" s="58">
        <v>21055</v>
      </c>
      <c r="D34" s="59">
        <f>C34*(1+'Tenure Split (Mid and SW Wales)'!C$109)+(C$44*(-(50-$B34)*('Tenure Split (Mid and SW Wales)'!C$110/40)))</f>
        <v>21736.820370738522</v>
      </c>
      <c r="E34" s="59">
        <f>D34*(1+'Tenure Split (Mid and SW Wales)'!D$109)+(D$44*(-(50-$B34)*('Tenure Split (Mid and SW Wales)'!D$110/40)))</f>
        <v>22230.419443997493</v>
      </c>
      <c r="F34" s="59">
        <f>E34*(1+'Tenure Split (Mid and SW Wales)'!E$109)+(E$44*(-(50-$B34)*('Tenure Split (Mid and SW Wales)'!E$110/40)))</f>
        <v>22892.685166346295</v>
      </c>
      <c r="G34" s="59">
        <f>F34*(1+'Tenure Split (Mid and SW Wales)'!F$109)+(F$44*(-(50-$B34)*('Tenure Split (Mid and SW Wales)'!F$110/40)))</f>
        <v>23672.524473404283</v>
      </c>
      <c r="H34" s="60">
        <f>G34*(1+'Tenure Split (Mid and SW Wales)'!G$109)+(G$44*(-(50-$B34)*('Tenure Split (Mid and SW Wales)'!G$110/40)))</f>
        <v>24501.833252238546</v>
      </c>
      <c r="L34" s="64" t="str">
        <f t="shared" si="0"/>
        <v/>
      </c>
      <c r="M34" s="251"/>
      <c r="N34" s="14">
        <f t="shared" si="3"/>
        <v>1</v>
      </c>
      <c r="T34" s="1">
        <f t="shared" si="1"/>
        <v>40</v>
      </c>
      <c r="U34" s="4" t="str">
        <f t="shared" si="2"/>
        <v/>
      </c>
      <c r="V34" s="4" t="e">
        <f>IF($V$3=$M$3,M34,U34*(1+'Tenure Split (Mid and SW Wales)'!C$109)+(U$44*(-(50-$T34)*('Tenure Split (Mid and SW Wales)'!C$110/40))))</f>
        <v>#VALUE!</v>
      </c>
      <c r="W34" s="4" t="e">
        <f>V34*(1+'Tenure Split (Mid and SW Wales)'!D$109)+(V$44*(-(50-$T34)*('Tenure Split (Mid and SW Wales)'!D$110/40)))</f>
        <v>#VALUE!</v>
      </c>
      <c r="X34" s="4" t="e">
        <f>W34*(1+'Tenure Split (Mid and SW Wales)'!E$109)+(W$44*(-(50-$T34)*('Tenure Split (Mid and SW Wales)'!E$110/40)))</f>
        <v>#VALUE!</v>
      </c>
      <c r="Y34" s="4" t="e">
        <f>X34*(1+'Tenure Split (Mid and SW Wales)'!F$109)+(X$44*(-(50-$T34)*('Tenure Split (Mid and SW Wales)'!F$110/40)))</f>
        <v>#VALUE!</v>
      </c>
      <c r="Z34" s="4" t="e">
        <f>Y34*(1+'Tenure Split (Mid and SW Wales)'!G$109)+(Y$44*(-(50-$T34)*('Tenure Split (Mid and SW Wales)'!G$110/40)))</f>
        <v>#VALUE!</v>
      </c>
      <c r="AB34" s="1">
        <v>40</v>
      </c>
      <c r="AC34" s="4">
        <f>IF('Tenure Split (WALES)'!$D$8="WG Estimates",'Income (Mid and SW Wales)'!D34,'Income (Mid and SW Wales)'!V34)</f>
        <v>21736.820370738522</v>
      </c>
      <c r="AD34" s="4">
        <f>IF('Tenure Split (WALES)'!$D$8="WG Estimates",'Income (Mid and SW Wales)'!E34,'Income (Mid and SW Wales)'!W34)</f>
        <v>22230.419443997493</v>
      </c>
      <c r="AE34" s="4">
        <f>IF('Tenure Split (WALES)'!$D$8="WG Estimates",'Income (Mid and SW Wales)'!F34,'Income (Mid and SW Wales)'!X34)</f>
        <v>22892.685166346295</v>
      </c>
      <c r="AF34" s="4">
        <f>IF('Tenure Split (WALES)'!$D$8="WG Estimates",'Income (Mid and SW Wales)'!G34,'Income (Mid and SW Wales)'!Y34)</f>
        <v>23672.524473404283</v>
      </c>
      <c r="AG34" s="4">
        <f>IF('Tenure Split (WALES)'!$D$8="WG Estimates",'Income (Mid and SW Wales)'!H34,'Income (Mid and SW Wales)'!Z34)</f>
        <v>24501.833252238546</v>
      </c>
    </row>
    <row r="35" spans="2:33" x14ac:dyDescent="0.25">
      <c r="B35" s="20">
        <v>41</v>
      </c>
      <c r="C35" s="58">
        <v>21349</v>
      </c>
      <c r="D35" s="59">
        <f>C35*(1+'Tenure Split (Mid and SW Wales)'!C$109)+(C$44*(-(50-$B35)*('Tenure Split (Mid and SW Wales)'!C$110/40)))</f>
        <v>22047.526315359613</v>
      </c>
      <c r="E35" s="59">
        <f>D35*(1+'Tenure Split (Mid and SW Wales)'!D$109)+(D$44*(-(50-$B35)*('Tenure Split (Mid and SW Wales)'!D$110/40)))</f>
        <v>22555.642063859035</v>
      </c>
      <c r="F35" s="59">
        <f>E35*(1+'Tenure Split (Mid and SW Wales)'!E$109)+(E$44*(-(50-$B35)*('Tenure Split (Mid and SW Wales)'!E$110/40)))</f>
        <v>23235.271965908156</v>
      </c>
      <c r="G35" s="59">
        <f>F35*(1+'Tenure Split (Mid and SW Wales)'!F$109)+(F$44*(-(50-$B35)*('Tenure Split (Mid and SW Wales)'!F$110/40)))</f>
        <v>24034.731940479382</v>
      </c>
      <c r="H35" s="60">
        <f>G35*(1+'Tenure Split (Mid and SW Wales)'!G$109)+(G$44*(-(50-$B35)*('Tenure Split (Mid and SW Wales)'!G$110/40)))</f>
        <v>24884.999153540932</v>
      </c>
      <c r="L35" s="64" t="str">
        <f t="shared" si="0"/>
        <v/>
      </c>
      <c r="M35" s="251"/>
      <c r="N35" s="14">
        <f t="shared" si="3"/>
        <v>1</v>
      </c>
      <c r="T35" s="1">
        <f t="shared" si="1"/>
        <v>41</v>
      </c>
      <c r="U35" s="4" t="str">
        <f t="shared" si="2"/>
        <v/>
      </c>
      <c r="V35" s="4" t="e">
        <f>IF($V$3=$M$3,M35,U35*(1+'Tenure Split (Mid and SW Wales)'!C$109)+(U$44*(-(50-$T35)*('Tenure Split (Mid and SW Wales)'!C$110/40))))</f>
        <v>#VALUE!</v>
      </c>
      <c r="W35" s="4" t="e">
        <f>V35*(1+'Tenure Split (Mid and SW Wales)'!D$109)+(V$44*(-(50-$T35)*('Tenure Split (Mid and SW Wales)'!D$110/40)))</f>
        <v>#VALUE!</v>
      </c>
      <c r="X35" s="4" t="e">
        <f>W35*(1+'Tenure Split (Mid and SW Wales)'!E$109)+(W$44*(-(50-$T35)*('Tenure Split (Mid and SW Wales)'!E$110/40)))</f>
        <v>#VALUE!</v>
      </c>
      <c r="Y35" s="4" t="e">
        <f>X35*(1+'Tenure Split (Mid and SW Wales)'!F$109)+(X$44*(-(50-$T35)*('Tenure Split (Mid and SW Wales)'!F$110/40)))</f>
        <v>#VALUE!</v>
      </c>
      <c r="Z35" s="4" t="e">
        <f>Y35*(1+'Tenure Split (Mid and SW Wales)'!G$109)+(Y$44*(-(50-$T35)*('Tenure Split (Mid and SW Wales)'!G$110/40)))</f>
        <v>#VALUE!</v>
      </c>
      <c r="AB35" s="1">
        <v>41</v>
      </c>
      <c r="AC35" s="4">
        <f>IF('Tenure Split (WALES)'!$D$8="WG Estimates",'Income (Mid and SW Wales)'!D35,'Income (Mid and SW Wales)'!V35)</f>
        <v>22047.526315359613</v>
      </c>
      <c r="AD35" s="4">
        <f>IF('Tenure Split (WALES)'!$D$8="WG Estimates",'Income (Mid and SW Wales)'!E35,'Income (Mid and SW Wales)'!W35)</f>
        <v>22555.642063859035</v>
      </c>
      <c r="AE35" s="4">
        <f>IF('Tenure Split (WALES)'!$D$8="WG Estimates",'Income (Mid and SW Wales)'!F35,'Income (Mid and SW Wales)'!X35)</f>
        <v>23235.271965908156</v>
      </c>
      <c r="AF35" s="4">
        <f>IF('Tenure Split (WALES)'!$D$8="WG Estimates",'Income (Mid and SW Wales)'!G35,'Income (Mid and SW Wales)'!Y35)</f>
        <v>24034.731940479382</v>
      </c>
      <c r="AG35" s="4">
        <f>IF('Tenure Split (WALES)'!$D$8="WG Estimates",'Income (Mid and SW Wales)'!H35,'Income (Mid and SW Wales)'!Z35)</f>
        <v>24884.999153540932</v>
      </c>
    </row>
    <row r="36" spans="2:33" x14ac:dyDescent="0.25">
      <c r="B36" s="20">
        <v>42</v>
      </c>
      <c r="C36" s="58">
        <v>21624.5</v>
      </c>
      <c r="D36" s="59">
        <f>C36*(1+'Tenure Split (Mid and SW Wales)'!C$109)+(C$44*(-(50-$B36)*('Tenure Split (Mid and SW Wales)'!C$110/40)))</f>
        <v>22339.07777877156</v>
      </c>
      <c r="E36" s="59">
        <f>D36*(1+'Tenure Split (Mid and SW Wales)'!D$109)+(D$44*(-(50-$B36)*('Tenure Split (Mid and SW Wales)'!D$110/40)))</f>
        <v>22861.217717919859</v>
      </c>
      <c r="F36" s="59">
        <f>E36*(1+'Tenure Split (Mid and SW Wales)'!E$109)+(E$44*(-(50-$B36)*('Tenure Split (Mid and SW Wales)'!E$110/40)))</f>
        <v>23557.567320023209</v>
      </c>
      <c r="G36" s="59">
        <f>F36*(1+'Tenure Split (Mid and SW Wales)'!F$109)+(F$44*(-(50-$B36)*('Tenure Split (Mid and SW Wales)'!F$110/40)))</f>
        <v>24375.895436553579</v>
      </c>
      <c r="H36" s="60">
        <f>G36*(1+'Tenure Split (Mid and SW Wales)'!G$109)+(G$44*(-(50-$B36)*('Tenure Split (Mid and SW Wales)'!G$110/40)))</f>
        <v>25246.320103523998</v>
      </c>
      <c r="L36" s="64" t="str">
        <f t="shared" si="0"/>
        <v/>
      </c>
      <c r="M36" s="251"/>
      <c r="N36" s="14">
        <f t="shared" si="3"/>
        <v>1</v>
      </c>
      <c r="T36" s="1">
        <f t="shared" si="1"/>
        <v>42</v>
      </c>
      <c r="U36" s="4" t="str">
        <f t="shared" si="2"/>
        <v/>
      </c>
      <c r="V36" s="4" t="e">
        <f>IF($V$3=$M$3,M36,U36*(1+'Tenure Split (Mid and SW Wales)'!C$109)+(U$44*(-(50-$T36)*('Tenure Split (Mid and SW Wales)'!C$110/40))))</f>
        <v>#VALUE!</v>
      </c>
      <c r="W36" s="4" t="e">
        <f>V36*(1+'Tenure Split (Mid and SW Wales)'!D$109)+(V$44*(-(50-$T36)*('Tenure Split (Mid and SW Wales)'!D$110/40)))</f>
        <v>#VALUE!</v>
      </c>
      <c r="X36" s="4" t="e">
        <f>W36*(1+'Tenure Split (Mid and SW Wales)'!E$109)+(W$44*(-(50-$T36)*('Tenure Split (Mid and SW Wales)'!E$110/40)))</f>
        <v>#VALUE!</v>
      </c>
      <c r="Y36" s="4" t="e">
        <f>X36*(1+'Tenure Split (Mid and SW Wales)'!F$109)+(X$44*(-(50-$T36)*('Tenure Split (Mid and SW Wales)'!F$110/40)))</f>
        <v>#VALUE!</v>
      </c>
      <c r="Z36" s="4" t="e">
        <f>Y36*(1+'Tenure Split (Mid and SW Wales)'!G$109)+(Y$44*(-(50-$T36)*('Tenure Split (Mid and SW Wales)'!G$110/40)))</f>
        <v>#VALUE!</v>
      </c>
      <c r="AB36" s="1">
        <v>42</v>
      </c>
      <c r="AC36" s="4">
        <f>IF('Tenure Split (WALES)'!$D$8="WG Estimates",'Income (Mid and SW Wales)'!D36,'Income (Mid and SW Wales)'!V36)</f>
        <v>22339.07777877156</v>
      </c>
      <c r="AD36" s="4">
        <f>IF('Tenure Split (WALES)'!$D$8="WG Estimates",'Income (Mid and SW Wales)'!E36,'Income (Mid and SW Wales)'!W36)</f>
        <v>22861.217717919859</v>
      </c>
      <c r="AE36" s="4">
        <f>IF('Tenure Split (WALES)'!$D$8="WG Estimates",'Income (Mid and SW Wales)'!F36,'Income (Mid and SW Wales)'!X36)</f>
        <v>23557.567320023209</v>
      </c>
      <c r="AF36" s="4">
        <f>IF('Tenure Split (WALES)'!$D$8="WG Estimates",'Income (Mid and SW Wales)'!G36,'Income (Mid and SW Wales)'!Y36)</f>
        <v>24375.895436553579</v>
      </c>
      <c r="AG36" s="4">
        <f>IF('Tenure Split (WALES)'!$D$8="WG Estimates",'Income (Mid and SW Wales)'!H36,'Income (Mid and SW Wales)'!Z36)</f>
        <v>25246.320103523998</v>
      </c>
    </row>
    <row r="37" spans="2:33" x14ac:dyDescent="0.25">
      <c r="B37" s="20">
        <v>43</v>
      </c>
      <c r="C37" s="58">
        <v>22037.5</v>
      </c>
      <c r="D37" s="59">
        <f>C37*(1+'Tenure Split (Mid and SW Wales)'!C$109)+(C$44*(-(50-$B37)*('Tenure Split (Mid and SW Wales)'!C$110/40)))</f>
        <v>22772.993629548808</v>
      </c>
      <c r="E37" s="59">
        <f>D37*(1+'Tenure Split (Mid and SW Wales)'!D$109)+(D$44*(-(50-$B37)*('Tenure Split (Mid and SW Wales)'!D$110/40)))</f>
        <v>23312.818117796854</v>
      </c>
      <c r="F37" s="59">
        <f>E37*(1+'Tenure Split (Mid and SW Wales)'!E$109)+(E$44*(-(50-$B37)*('Tenure Split (Mid and SW Wales)'!E$110/40)))</f>
        <v>24030.677471378094</v>
      </c>
      <c r="G37" s="59">
        <f>F37*(1+'Tenure Split (Mid and SW Wales)'!F$109)+(F$44*(-(50-$B37)*('Tenure Split (Mid and SW Wales)'!F$110/40)))</f>
        <v>24873.4668252021</v>
      </c>
      <c r="H37" s="60">
        <f>G37*(1+'Tenure Split (Mid and SW Wales)'!G$109)+(G$44*(-(50-$B37)*('Tenure Split (Mid and SW Wales)'!G$110/40)))</f>
        <v>25770.002178177747</v>
      </c>
      <c r="L37" s="64" t="str">
        <f t="shared" si="0"/>
        <v/>
      </c>
      <c r="M37" s="251"/>
      <c r="N37" s="14">
        <f t="shared" si="3"/>
        <v>1</v>
      </c>
      <c r="T37" s="1">
        <f t="shared" si="1"/>
        <v>43</v>
      </c>
      <c r="U37" s="4" t="str">
        <f t="shared" si="2"/>
        <v/>
      </c>
      <c r="V37" s="4" t="e">
        <f>IF($V$3=$M$3,M37,U37*(1+'Tenure Split (Mid and SW Wales)'!C$109)+(U$44*(-(50-$T37)*('Tenure Split (Mid and SW Wales)'!C$110/40))))</f>
        <v>#VALUE!</v>
      </c>
      <c r="W37" s="4" t="e">
        <f>V37*(1+'Tenure Split (Mid and SW Wales)'!D$109)+(V$44*(-(50-$T37)*('Tenure Split (Mid and SW Wales)'!D$110/40)))</f>
        <v>#VALUE!</v>
      </c>
      <c r="X37" s="4" t="e">
        <f>W37*(1+'Tenure Split (Mid and SW Wales)'!E$109)+(W$44*(-(50-$T37)*('Tenure Split (Mid and SW Wales)'!E$110/40)))</f>
        <v>#VALUE!</v>
      </c>
      <c r="Y37" s="4" t="e">
        <f>X37*(1+'Tenure Split (Mid and SW Wales)'!F$109)+(X$44*(-(50-$T37)*('Tenure Split (Mid and SW Wales)'!F$110/40)))</f>
        <v>#VALUE!</v>
      </c>
      <c r="Z37" s="4" t="e">
        <f>Y37*(1+'Tenure Split (Mid and SW Wales)'!G$109)+(Y$44*(-(50-$T37)*('Tenure Split (Mid and SW Wales)'!G$110/40)))</f>
        <v>#VALUE!</v>
      </c>
      <c r="AB37" s="1">
        <v>43</v>
      </c>
      <c r="AC37" s="4">
        <f>IF('Tenure Split (WALES)'!$D$8="WG Estimates",'Income (Mid and SW Wales)'!D37,'Income (Mid and SW Wales)'!V37)</f>
        <v>22772.993629548808</v>
      </c>
      <c r="AD37" s="4">
        <f>IF('Tenure Split (WALES)'!$D$8="WG Estimates",'Income (Mid and SW Wales)'!E37,'Income (Mid and SW Wales)'!W37)</f>
        <v>23312.818117796854</v>
      </c>
      <c r="AE37" s="4">
        <f>IF('Tenure Split (WALES)'!$D$8="WG Estimates",'Income (Mid and SW Wales)'!F37,'Income (Mid and SW Wales)'!X37)</f>
        <v>24030.677471378094</v>
      </c>
      <c r="AF37" s="4">
        <f>IF('Tenure Split (WALES)'!$D$8="WG Estimates",'Income (Mid and SW Wales)'!G37,'Income (Mid and SW Wales)'!Y37)</f>
        <v>24873.4668252021</v>
      </c>
      <c r="AG37" s="4">
        <f>IF('Tenure Split (WALES)'!$D$8="WG Estimates",'Income (Mid and SW Wales)'!H37,'Income (Mid and SW Wales)'!Z37)</f>
        <v>25770.002178177747</v>
      </c>
    </row>
    <row r="38" spans="2:33" x14ac:dyDescent="0.25">
      <c r="B38" s="20">
        <v>44</v>
      </c>
      <c r="C38" s="58">
        <v>22575</v>
      </c>
      <c r="D38" s="59">
        <f>C38*(1+'Tenure Split (Mid and SW Wales)'!C$109)+(C$44*(-(50-$B38)*('Tenure Split (Mid and SW Wales)'!C$110/40)))</f>
        <v>23335.813961976826</v>
      </c>
      <c r="E38" s="59">
        <f>D38*(1+'Tenure Split (Mid and SW Wales)'!D$109)+(D$44*(-(50-$B38)*('Tenure Split (Mid and SW Wales)'!D$110/40)))</f>
        <v>23896.637287521957</v>
      </c>
      <c r="F38" s="59">
        <f>E38*(1+'Tenure Split (Mid and SW Wales)'!E$109)+(E$44*(-(50-$B38)*('Tenure Split (Mid and SW Wales)'!E$110/40)))</f>
        <v>24640.343566415613</v>
      </c>
      <c r="G38" s="59">
        <f>F38*(1+'Tenure Split (Mid and SW Wales)'!F$109)+(F$44*(-(50-$B38)*('Tenure Split (Mid and SW Wales)'!F$110/40)))</f>
        <v>25512.658451127034</v>
      </c>
      <c r="H38" s="60">
        <f>G38*(1+'Tenure Split (Mid and SW Wales)'!G$109)+(G$44*(-(50-$B38)*('Tenure Split (Mid and SW Wales)'!G$110/40)))</f>
        <v>26440.694871169711</v>
      </c>
      <c r="L38" s="64" t="str">
        <f t="shared" si="0"/>
        <v/>
      </c>
      <c r="M38" s="251"/>
      <c r="N38" s="14">
        <f t="shared" si="3"/>
        <v>1</v>
      </c>
      <c r="T38" s="1">
        <f t="shared" si="1"/>
        <v>44</v>
      </c>
      <c r="U38" s="4" t="str">
        <f t="shared" si="2"/>
        <v/>
      </c>
      <c r="V38" s="4" t="e">
        <f>IF($V$3=$M$3,M38,U38*(1+'Tenure Split (Mid and SW Wales)'!C$109)+(U$44*(-(50-$T38)*('Tenure Split (Mid and SW Wales)'!C$110/40))))</f>
        <v>#VALUE!</v>
      </c>
      <c r="W38" s="4" t="e">
        <f>V38*(1+'Tenure Split (Mid and SW Wales)'!D$109)+(V$44*(-(50-$T38)*('Tenure Split (Mid and SW Wales)'!D$110/40)))</f>
        <v>#VALUE!</v>
      </c>
      <c r="X38" s="4" t="e">
        <f>W38*(1+'Tenure Split (Mid and SW Wales)'!E$109)+(W$44*(-(50-$T38)*('Tenure Split (Mid and SW Wales)'!E$110/40)))</f>
        <v>#VALUE!</v>
      </c>
      <c r="Y38" s="4" t="e">
        <f>X38*(1+'Tenure Split (Mid and SW Wales)'!F$109)+(X$44*(-(50-$T38)*('Tenure Split (Mid and SW Wales)'!F$110/40)))</f>
        <v>#VALUE!</v>
      </c>
      <c r="Z38" s="4" t="e">
        <f>Y38*(1+'Tenure Split (Mid and SW Wales)'!G$109)+(Y$44*(-(50-$T38)*('Tenure Split (Mid and SW Wales)'!G$110/40)))</f>
        <v>#VALUE!</v>
      </c>
      <c r="AB38" s="1">
        <v>44</v>
      </c>
      <c r="AC38" s="4">
        <f>IF('Tenure Split (WALES)'!$D$8="WG Estimates",'Income (Mid and SW Wales)'!D38,'Income (Mid and SW Wales)'!V38)</f>
        <v>23335.813961976826</v>
      </c>
      <c r="AD38" s="4">
        <f>IF('Tenure Split (WALES)'!$D$8="WG Estimates",'Income (Mid and SW Wales)'!E38,'Income (Mid and SW Wales)'!W38)</f>
        <v>23896.637287521957</v>
      </c>
      <c r="AE38" s="4">
        <f>IF('Tenure Split (WALES)'!$D$8="WG Estimates",'Income (Mid and SW Wales)'!F38,'Income (Mid and SW Wales)'!X38)</f>
        <v>24640.343566415613</v>
      </c>
      <c r="AF38" s="4">
        <f>IF('Tenure Split (WALES)'!$D$8="WG Estimates",'Income (Mid and SW Wales)'!G38,'Income (Mid and SW Wales)'!Y38)</f>
        <v>25512.658451127034</v>
      </c>
      <c r="AG38" s="4">
        <f>IF('Tenure Split (WALES)'!$D$8="WG Estimates",'Income (Mid and SW Wales)'!H38,'Income (Mid and SW Wales)'!Z38)</f>
        <v>26440.694871169711</v>
      </c>
    </row>
    <row r="39" spans="2:33" x14ac:dyDescent="0.25">
      <c r="B39" s="20">
        <v>45</v>
      </c>
      <c r="C39" s="58">
        <v>23025.25</v>
      </c>
      <c r="D39" s="59">
        <f>C39*(1+'Tenure Split (Mid and SW Wales)'!C$109)+(C$44*(-(50-$B39)*('Tenure Split (Mid and SW Wales)'!C$110/40)))</f>
        <v>23808.29761951304</v>
      </c>
      <c r="E39" s="59">
        <f>D39*(1+'Tenure Split (Mid and SW Wales)'!D$109)+(D$44*(-(50-$B39)*('Tenure Split (Mid and SW Wales)'!D$110/40)))</f>
        <v>24387.797118538248</v>
      </c>
      <c r="F39" s="59">
        <f>E39*(1+'Tenure Split (Mid and SW Wales)'!E$109)+(E$44*(-(50-$B39)*('Tenure Split (Mid and SW Wales)'!E$110/40)))</f>
        <v>25154.310817386391</v>
      </c>
      <c r="G39" s="59">
        <f>F39*(1+'Tenure Split (Mid and SW Wales)'!F$109)+(F$44*(-(50-$B39)*('Tenure Split (Mid and SW Wales)'!F$110/40)))</f>
        <v>26052.602159763886</v>
      </c>
      <c r="H39" s="60">
        <f>G39*(1+'Tenure Split (Mid and SW Wales)'!G$109)+(G$44*(-(50-$B39)*('Tenure Split (Mid and SW Wales)'!G$110/40)))</f>
        <v>27008.362050506992</v>
      </c>
      <c r="L39" s="64" t="str">
        <f t="shared" si="0"/>
        <v/>
      </c>
      <c r="M39" s="251"/>
      <c r="N39" s="14">
        <f t="shared" si="3"/>
        <v>1</v>
      </c>
      <c r="T39" s="1">
        <f t="shared" si="1"/>
        <v>45</v>
      </c>
      <c r="U39" s="4" t="str">
        <f t="shared" si="2"/>
        <v/>
      </c>
      <c r="V39" s="4" t="e">
        <f>IF($V$3=$M$3,M39,U39*(1+'Tenure Split (Mid and SW Wales)'!C$109)+(U$44*(-(50-$T39)*('Tenure Split (Mid and SW Wales)'!C$110/40))))</f>
        <v>#VALUE!</v>
      </c>
      <c r="W39" s="4" t="e">
        <f>V39*(1+'Tenure Split (Mid and SW Wales)'!D$109)+(V$44*(-(50-$T39)*('Tenure Split (Mid and SW Wales)'!D$110/40)))</f>
        <v>#VALUE!</v>
      </c>
      <c r="X39" s="4" t="e">
        <f>W39*(1+'Tenure Split (Mid and SW Wales)'!E$109)+(W$44*(-(50-$T39)*('Tenure Split (Mid and SW Wales)'!E$110/40)))</f>
        <v>#VALUE!</v>
      </c>
      <c r="Y39" s="4" t="e">
        <f>X39*(1+'Tenure Split (Mid and SW Wales)'!F$109)+(X$44*(-(50-$T39)*('Tenure Split (Mid and SW Wales)'!F$110/40)))</f>
        <v>#VALUE!</v>
      </c>
      <c r="Z39" s="4" t="e">
        <f>Y39*(1+'Tenure Split (Mid and SW Wales)'!G$109)+(Y$44*(-(50-$T39)*('Tenure Split (Mid and SW Wales)'!G$110/40)))</f>
        <v>#VALUE!</v>
      </c>
      <c r="AB39" s="1">
        <v>45</v>
      </c>
      <c r="AC39" s="4">
        <f>IF('Tenure Split (WALES)'!$D$8="WG Estimates",'Income (Mid and SW Wales)'!D39,'Income (Mid and SW Wales)'!V39)</f>
        <v>23808.29761951304</v>
      </c>
      <c r="AD39" s="4">
        <f>IF('Tenure Split (WALES)'!$D$8="WG Estimates",'Income (Mid and SW Wales)'!E39,'Income (Mid and SW Wales)'!W39)</f>
        <v>24387.797118538248</v>
      </c>
      <c r="AE39" s="4">
        <f>IF('Tenure Split (WALES)'!$D$8="WG Estimates",'Income (Mid and SW Wales)'!F39,'Income (Mid and SW Wales)'!X39)</f>
        <v>25154.310817386391</v>
      </c>
      <c r="AF39" s="4">
        <f>IF('Tenure Split (WALES)'!$D$8="WG Estimates",'Income (Mid and SW Wales)'!G39,'Income (Mid and SW Wales)'!Y39)</f>
        <v>26052.602159763886</v>
      </c>
      <c r="AG39" s="4">
        <f>IF('Tenure Split (WALES)'!$D$8="WG Estimates",'Income (Mid and SW Wales)'!H39,'Income (Mid and SW Wales)'!Z39)</f>
        <v>27008.362050506992</v>
      </c>
    </row>
    <row r="40" spans="2:33" x14ac:dyDescent="0.25">
      <c r="B40" s="20">
        <v>46</v>
      </c>
      <c r="C40" s="58">
        <v>23754.75</v>
      </c>
      <c r="D40" s="59">
        <f>C40*(1+'Tenure Split (Mid and SW Wales)'!C$109)+(C$44*(-(50-$B40)*('Tenure Split (Mid and SW Wales)'!C$110/40)))</f>
        <v>24569.910405571161</v>
      </c>
      <c r="E40" s="59">
        <f>D40*(1+'Tenure Split (Mid and SW Wales)'!D$109)+(D$44*(-(50-$B40)*('Tenure Split (Mid and SW Wales)'!D$110/40)))</f>
        <v>25175.519933330317</v>
      </c>
      <c r="F40" s="59">
        <f>E40*(1+'Tenure Split (Mid and SW Wales)'!E$109)+(E$44*(-(50-$B40)*('Tenure Split (Mid and SW Wales)'!E$110/40)))</f>
        <v>25974.569211115195</v>
      </c>
      <c r="G40" s="59">
        <f>F40*(1+'Tenure Split (Mid and SW Wales)'!F$109)+(F$44*(-(50-$B40)*('Tenure Split (Mid and SW Wales)'!F$110/40)))</f>
        <v>26910.196079319903</v>
      </c>
      <c r="H40" s="60">
        <f>G40*(1+'Tenure Split (Mid and SW Wales)'!G$109)+(G$44*(-(50-$B40)*('Tenure Split (Mid and SW Wales)'!G$110/40)))</f>
        <v>27905.769913948228</v>
      </c>
      <c r="L40" s="64" t="str">
        <f t="shared" si="0"/>
        <v/>
      </c>
      <c r="M40" s="251"/>
      <c r="N40" s="14">
        <f t="shared" si="3"/>
        <v>1</v>
      </c>
      <c r="T40" s="1">
        <f t="shared" si="1"/>
        <v>46</v>
      </c>
      <c r="U40" s="4" t="str">
        <f t="shared" si="2"/>
        <v/>
      </c>
      <c r="V40" s="4" t="e">
        <f>IF($V$3=$M$3,M40,U40*(1+'Tenure Split (Mid and SW Wales)'!C$109)+(U$44*(-(50-$T40)*('Tenure Split (Mid and SW Wales)'!C$110/40))))</f>
        <v>#VALUE!</v>
      </c>
      <c r="W40" s="4" t="e">
        <f>V40*(1+'Tenure Split (Mid and SW Wales)'!D$109)+(V$44*(-(50-$T40)*('Tenure Split (Mid and SW Wales)'!D$110/40)))</f>
        <v>#VALUE!</v>
      </c>
      <c r="X40" s="4" t="e">
        <f>W40*(1+'Tenure Split (Mid and SW Wales)'!E$109)+(W$44*(-(50-$T40)*('Tenure Split (Mid and SW Wales)'!E$110/40)))</f>
        <v>#VALUE!</v>
      </c>
      <c r="Y40" s="4" t="e">
        <f>X40*(1+'Tenure Split (Mid and SW Wales)'!F$109)+(X$44*(-(50-$T40)*('Tenure Split (Mid and SW Wales)'!F$110/40)))</f>
        <v>#VALUE!</v>
      </c>
      <c r="Z40" s="4" t="e">
        <f>Y40*(1+'Tenure Split (Mid and SW Wales)'!G$109)+(Y$44*(-(50-$T40)*('Tenure Split (Mid and SW Wales)'!G$110/40)))</f>
        <v>#VALUE!</v>
      </c>
      <c r="AB40" s="1">
        <v>46</v>
      </c>
      <c r="AC40" s="4">
        <f>IF('Tenure Split (WALES)'!$D$8="WG Estimates",'Income (Mid and SW Wales)'!D40,'Income (Mid and SW Wales)'!V40)</f>
        <v>24569.910405571161</v>
      </c>
      <c r="AD40" s="4">
        <f>IF('Tenure Split (WALES)'!$D$8="WG Estimates",'Income (Mid and SW Wales)'!E40,'Income (Mid and SW Wales)'!W40)</f>
        <v>25175.519933330317</v>
      </c>
      <c r="AE40" s="4">
        <f>IF('Tenure Split (WALES)'!$D$8="WG Estimates",'Income (Mid and SW Wales)'!F40,'Income (Mid and SW Wales)'!X40)</f>
        <v>25974.569211115195</v>
      </c>
      <c r="AF40" s="4">
        <f>IF('Tenure Split (WALES)'!$D$8="WG Estimates",'Income (Mid and SW Wales)'!G40,'Income (Mid and SW Wales)'!Y40)</f>
        <v>26910.196079319903</v>
      </c>
      <c r="AG40" s="4">
        <f>IF('Tenure Split (WALES)'!$D$8="WG Estimates",'Income (Mid and SW Wales)'!H40,'Income (Mid and SW Wales)'!Z40)</f>
        <v>27905.769913948228</v>
      </c>
    </row>
    <row r="41" spans="2:33" x14ac:dyDescent="0.25">
      <c r="B41" s="20">
        <v>47</v>
      </c>
      <c r="C41" s="58">
        <v>24131.5</v>
      </c>
      <c r="D41" s="59">
        <f>C41*(1+'Tenure Split (Mid and SW Wales)'!C$109)+(C$44*(-(50-$B41)*('Tenure Split (Mid and SW Wales)'!C$110/40)))</f>
        <v>24966.293826952104</v>
      </c>
      <c r="E41" s="59">
        <f>D41*(1+'Tenure Split (Mid and SW Wales)'!D$109)+(D$44*(-(50-$B41)*('Tenure Split (Mid and SW Wales)'!D$110/40)))</f>
        <v>25588.622900219416</v>
      </c>
      <c r="F41" s="59">
        <f>E41*(1+'Tenure Split (Mid and SW Wales)'!E$109)+(E$44*(-(50-$B41)*('Tenure Split (Mid and SW Wales)'!E$110/40)))</f>
        <v>26407.919097743219</v>
      </c>
      <c r="G41" s="59">
        <f>F41*(1+'Tenure Split (Mid and SW Wales)'!F$109)+(F$44*(-(50-$B41)*('Tenure Split (Mid and SW Wales)'!F$110/40)))</f>
        <v>27366.53265992611</v>
      </c>
      <c r="H41" s="60">
        <f>G41*(1+'Tenure Split (Mid and SW Wales)'!G$109)+(G$44*(-(50-$B41)*('Tenure Split (Mid and SW Wales)'!G$110/40)))</f>
        <v>28386.6476920979</v>
      </c>
      <c r="L41" s="64" t="str">
        <f t="shared" si="0"/>
        <v/>
      </c>
      <c r="M41" s="251"/>
      <c r="N41" s="14">
        <f t="shared" si="3"/>
        <v>1</v>
      </c>
      <c r="T41" s="1">
        <f t="shared" si="1"/>
        <v>47</v>
      </c>
      <c r="U41" s="4" t="str">
        <f t="shared" si="2"/>
        <v/>
      </c>
      <c r="V41" s="4" t="e">
        <f>IF($V$3=$M$3,M41,U41*(1+'Tenure Split (Mid and SW Wales)'!C$109)+(U$44*(-(50-$T41)*('Tenure Split (Mid and SW Wales)'!C$110/40))))</f>
        <v>#VALUE!</v>
      </c>
      <c r="W41" s="4" t="e">
        <f>V41*(1+'Tenure Split (Mid and SW Wales)'!D$109)+(V$44*(-(50-$T41)*('Tenure Split (Mid and SW Wales)'!D$110/40)))</f>
        <v>#VALUE!</v>
      </c>
      <c r="X41" s="4" t="e">
        <f>W41*(1+'Tenure Split (Mid and SW Wales)'!E$109)+(W$44*(-(50-$T41)*('Tenure Split (Mid and SW Wales)'!E$110/40)))</f>
        <v>#VALUE!</v>
      </c>
      <c r="Y41" s="4" t="e">
        <f>X41*(1+'Tenure Split (Mid and SW Wales)'!F$109)+(X$44*(-(50-$T41)*('Tenure Split (Mid and SW Wales)'!F$110/40)))</f>
        <v>#VALUE!</v>
      </c>
      <c r="Z41" s="4" t="e">
        <f>Y41*(1+'Tenure Split (Mid and SW Wales)'!G$109)+(Y$44*(-(50-$T41)*('Tenure Split (Mid and SW Wales)'!G$110/40)))</f>
        <v>#VALUE!</v>
      </c>
      <c r="AB41" s="1">
        <v>47</v>
      </c>
      <c r="AC41" s="4">
        <f>IF('Tenure Split (WALES)'!$D$8="WG Estimates",'Income (Mid and SW Wales)'!D41,'Income (Mid and SW Wales)'!V41)</f>
        <v>24966.293826952104</v>
      </c>
      <c r="AD41" s="4">
        <f>IF('Tenure Split (WALES)'!$D$8="WG Estimates",'Income (Mid and SW Wales)'!E41,'Income (Mid and SW Wales)'!W41)</f>
        <v>25588.622900219416</v>
      </c>
      <c r="AE41" s="4">
        <f>IF('Tenure Split (WALES)'!$D$8="WG Estimates",'Income (Mid and SW Wales)'!F41,'Income (Mid and SW Wales)'!X41)</f>
        <v>26407.919097743219</v>
      </c>
      <c r="AF41" s="4">
        <f>IF('Tenure Split (WALES)'!$D$8="WG Estimates",'Income (Mid and SW Wales)'!G41,'Income (Mid and SW Wales)'!Y41)</f>
        <v>27366.53265992611</v>
      </c>
      <c r="AG41" s="4">
        <f>IF('Tenure Split (WALES)'!$D$8="WG Estimates",'Income (Mid and SW Wales)'!H41,'Income (Mid and SW Wales)'!Z41)</f>
        <v>28386.6476920979</v>
      </c>
    </row>
    <row r="42" spans="2:33" x14ac:dyDescent="0.25">
      <c r="B42" s="20">
        <v>48</v>
      </c>
      <c r="C42" s="58">
        <v>24642.85</v>
      </c>
      <c r="D42" s="59">
        <f>C42*(1+'Tenure Split (Mid and SW Wales)'!C$109)+(C$44*(-(50-$B42)*('Tenure Split (Mid and SW Wales)'!C$110/40)))</f>
        <v>25502.039041346648</v>
      </c>
      <c r="E42" s="59">
        <f>D42*(1+'Tenure Split (Mid and SW Wales)'!D$109)+(D$44*(-(50-$B42)*('Tenure Split (Mid and SW Wales)'!D$110/40)))</f>
        <v>26144.67081828566</v>
      </c>
      <c r="F42" s="59">
        <f>E42*(1+'Tenure Split (Mid and SW Wales)'!E$109)+(E$44*(-(50-$B42)*('Tenure Split (Mid and SW Wales)'!E$110/40)))</f>
        <v>26988.902960432941</v>
      </c>
      <c r="G42" s="59">
        <f>F42*(1+'Tenure Split (Mid and SW Wales)'!F$109)+(F$44*(-(50-$B42)*('Tenure Split (Mid and SW Wales)'!F$110/40)))</f>
        <v>27975.978348463268</v>
      </c>
      <c r="H42" s="60">
        <f>G42*(1+'Tenure Split (Mid and SW Wales)'!G$109)+(G$44*(-(50-$B42)*('Tenure Split (Mid and SW Wales)'!G$110/40)))</f>
        <v>29026.462251197943</v>
      </c>
      <c r="L42" s="64" t="str">
        <f t="shared" si="0"/>
        <v/>
      </c>
      <c r="M42" s="251"/>
      <c r="N42" s="14">
        <f t="shared" si="3"/>
        <v>1</v>
      </c>
      <c r="T42" s="1">
        <f t="shared" si="1"/>
        <v>48</v>
      </c>
      <c r="U42" s="4" t="str">
        <f t="shared" si="2"/>
        <v/>
      </c>
      <c r="V42" s="4" t="e">
        <f>IF($V$3=$M$3,M42,U42*(1+'Tenure Split (Mid and SW Wales)'!C$109)+(U$44*(-(50-$T42)*('Tenure Split (Mid and SW Wales)'!C$110/40))))</f>
        <v>#VALUE!</v>
      </c>
      <c r="W42" s="4" t="e">
        <f>V42*(1+'Tenure Split (Mid and SW Wales)'!D$109)+(V$44*(-(50-$T42)*('Tenure Split (Mid and SW Wales)'!D$110/40)))</f>
        <v>#VALUE!</v>
      </c>
      <c r="X42" s="4" t="e">
        <f>W42*(1+'Tenure Split (Mid and SW Wales)'!E$109)+(W$44*(-(50-$T42)*('Tenure Split (Mid and SW Wales)'!E$110/40)))</f>
        <v>#VALUE!</v>
      </c>
      <c r="Y42" s="4" t="e">
        <f>X42*(1+'Tenure Split (Mid and SW Wales)'!F$109)+(X$44*(-(50-$T42)*('Tenure Split (Mid and SW Wales)'!F$110/40)))</f>
        <v>#VALUE!</v>
      </c>
      <c r="Z42" s="4" t="e">
        <f>Y42*(1+'Tenure Split (Mid and SW Wales)'!G$109)+(Y$44*(-(50-$T42)*('Tenure Split (Mid and SW Wales)'!G$110/40)))</f>
        <v>#VALUE!</v>
      </c>
      <c r="AB42" s="1">
        <v>48</v>
      </c>
      <c r="AC42" s="4">
        <f>IF('Tenure Split (WALES)'!$D$8="WG Estimates",'Income (Mid and SW Wales)'!D42,'Income (Mid and SW Wales)'!V42)</f>
        <v>25502.039041346648</v>
      </c>
      <c r="AD42" s="4">
        <f>IF('Tenure Split (WALES)'!$D$8="WG Estimates",'Income (Mid and SW Wales)'!E42,'Income (Mid and SW Wales)'!W42)</f>
        <v>26144.67081828566</v>
      </c>
      <c r="AE42" s="4">
        <f>IF('Tenure Split (WALES)'!$D$8="WG Estimates",'Income (Mid and SW Wales)'!F42,'Income (Mid and SW Wales)'!X42)</f>
        <v>26988.902960432941</v>
      </c>
      <c r="AF42" s="4">
        <f>IF('Tenure Split (WALES)'!$D$8="WG Estimates",'Income (Mid and SW Wales)'!G42,'Income (Mid and SW Wales)'!Y42)</f>
        <v>27975.978348463268</v>
      </c>
      <c r="AG42" s="4">
        <f>IF('Tenure Split (WALES)'!$D$8="WG Estimates",'Income (Mid and SW Wales)'!H42,'Income (Mid and SW Wales)'!Z42)</f>
        <v>29026.462251197943</v>
      </c>
    </row>
    <row r="43" spans="2:33" x14ac:dyDescent="0.25">
      <c r="B43" s="20">
        <v>49</v>
      </c>
      <c r="C43" s="58">
        <v>24932.5</v>
      </c>
      <c r="D43" s="59">
        <f>C43*(1+'Tenure Split (Mid and SW Wales)'!C$109)+(C$44*(-(50-$B43)*('Tenure Split (Mid and SW Wales)'!C$110/40)))</f>
        <v>25808.241094440189</v>
      </c>
      <c r="E43" s="59">
        <f>D43*(1+'Tenure Split (Mid and SW Wales)'!D$109)+(D$44*(-(50-$B43)*('Tenure Split (Mid and SW Wales)'!D$110/40)))</f>
        <v>26465.273746188657</v>
      </c>
      <c r="F43" s="59">
        <f>E43*(1+'Tenure Split (Mid and SW Wales)'!E$109)+(E$44*(-(50-$B43)*('Tenure Split (Mid and SW Wales)'!E$110/40)))</f>
        <v>27326.718528227582</v>
      </c>
      <c r="G43" s="59">
        <f>F43*(1+'Tenure Split (Mid and SW Wales)'!F$109)+(F$44*(-(50-$B43)*('Tenure Split (Mid and SW Wales)'!F$110/40)))</f>
        <v>28333.23763857329</v>
      </c>
      <c r="H43" s="60">
        <f>G43*(1+'Tenure Split (Mid and SW Wales)'!G$109)+(G$44*(-(50-$B43)*('Tenure Split (Mid and SW Wales)'!G$110/40)))</f>
        <v>29404.491636919836</v>
      </c>
      <c r="L43" s="64" t="str">
        <f t="shared" si="0"/>
        <v/>
      </c>
      <c r="M43" s="251"/>
      <c r="N43" s="14">
        <f t="shared" si="3"/>
        <v>1</v>
      </c>
      <c r="T43" s="1">
        <f t="shared" si="1"/>
        <v>49</v>
      </c>
      <c r="U43" s="4" t="str">
        <f t="shared" si="2"/>
        <v/>
      </c>
      <c r="V43" s="4" t="e">
        <f>IF($V$3=$M$3,M43,U43*(1+'Tenure Split (Mid and SW Wales)'!C$109)+(U$44*(-(50-$T43)*('Tenure Split (Mid and SW Wales)'!C$110/40))))</f>
        <v>#VALUE!</v>
      </c>
      <c r="W43" s="4" t="e">
        <f>V43*(1+'Tenure Split (Mid and SW Wales)'!D$109)+(V$44*(-(50-$T43)*('Tenure Split (Mid and SW Wales)'!D$110/40)))</f>
        <v>#VALUE!</v>
      </c>
      <c r="X43" s="4" t="e">
        <f>W43*(1+'Tenure Split (Mid and SW Wales)'!E$109)+(W$44*(-(50-$T43)*('Tenure Split (Mid and SW Wales)'!E$110/40)))</f>
        <v>#VALUE!</v>
      </c>
      <c r="Y43" s="4" t="e">
        <f>X43*(1+'Tenure Split (Mid and SW Wales)'!F$109)+(X$44*(-(50-$T43)*('Tenure Split (Mid and SW Wales)'!F$110/40)))</f>
        <v>#VALUE!</v>
      </c>
      <c r="Z43" s="4" t="e">
        <f>Y43*(1+'Tenure Split (Mid and SW Wales)'!G$109)+(Y$44*(-(50-$T43)*('Tenure Split (Mid and SW Wales)'!G$110/40)))</f>
        <v>#VALUE!</v>
      </c>
      <c r="AB43" s="1">
        <v>49</v>
      </c>
      <c r="AC43" s="4">
        <f>IF('Tenure Split (WALES)'!$D$8="WG Estimates",'Income (Mid and SW Wales)'!D43,'Income (Mid and SW Wales)'!V43)</f>
        <v>25808.241094440189</v>
      </c>
      <c r="AD43" s="4">
        <f>IF('Tenure Split (WALES)'!$D$8="WG Estimates",'Income (Mid and SW Wales)'!E43,'Income (Mid and SW Wales)'!W43)</f>
        <v>26465.273746188657</v>
      </c>
      <c r="AE43" s="4">
        <f>IF('Tenure Split (WALES)'!$D$8="WG Estimates",'Income (Mid and SW Wales)'!F43,'Income (Mid and SW Wales)'!X43)</f>
        <v>27326.718528227582</v>
      </c>
      <c r="AF43" s="4">
        <f>IF('Tenure Split (WALES)'!$D$8="WG Estimates",'Income (Mid and SW Wales)'!G43,'Income (Mid and SW Wales)'!Y43)</f>
        <v>28333.23763857329</v>
      </c>
      <c r="AG43" s="4">
        <f>IF('Tenure Split (WALES)'!$D$8="WG Estimates",'Income (Mid and SW Wales)'!H43,'Income (Mid and SW Wales)'!Z43)</f>
        <v>29404.491636919836</v>
      </c>
    </row>
    <row r="44" spans="2:33" x14ac:dyDescent="0.25">
      <c r="B44" s="20">
        <v>50</v>
      </c>
      <c r="C44" s="58">
        <v>25220</v>
      </c>
      <c r="D44" s="59">
        <f>C44*(1+'Tenure Split (Mid and SW Wales)'!C$109)+(C$44*(-(50-$B44)*('Tenure Split (Mid and SW Wales)'!C$110/40)))</f>
        <v>26112.217086204011</v>
      </c>
      <c r="E44" s="59">
        <f>D44*(1+'Tenure Split (Mid and SW Wales)'!D$109)+(D$44*(-(50-$B44)*('Tenure Split (Mid and SW Wales)'!D$110/40)))</f>
        <v>26783.593378066158</v>
      </c>
      <c r="F44" s="59">
        <f>E44*(1+'Tenure Split (Mid and SW Wales)'!E$109)+(E$44*(-(50-$B44)*('Tenure Split (Mid and SW Wales)'!E$110/40)))</f>
        <v>27662.175901010829</v>
      </c>
      <c r="G44" s="59">
        <f>F44*(1+'Tenure Split (Mid and SW Wales)'!F$109)+(F$44*(-(50-$B44)*('Tenure Split (Mid and SW Wales)'!F$110/40)))</f>
        <v>28688.051277999421</v>
      </c>
      <c r="H44" s="60">
        <f>G44*(1+'Tenure Split (Mid and SW Wales)'!G$109)+(G$44*(-(50-$B44)*('Tenure Split (Mid and SW Wales)'!G$110/40)))</f>
        <v>29779.982285055976</v>
      </c>
      <c r="L44" s="64" t="str">
        <f t="shared" si="0"/>
        <v/>
      </c>
      <c r="M44" s="251"/>
      <c r="N44" s="14">
        <f t="shared" si="3"/>
        <v>1</v>
      </c>
      <c r="T44" s="1">
        <f t="shared" si="1"/>
        <v>50</v>
      </c>
      <c r="U44" s="4" t="str">
        <f t="shared" si="2"/>
        <v/>
      </c>
      <c r="V44" s="4" t="e">
        <f>IF($V$3=$M$3,M44,U44*(1+'Tenure Split (Mid and SW Wales)'!C$109)+(U$44*(-(50-$T44)*('Tenure Split (Mid and SW Wales)'!C$110/40))))</f>
        <v>#VALUE!</v>
      </c>
      <c r="W44" s="4" t="e">
        <f>V44*(1+'Tenure Split (Mid and SW Wales)'!D$109)+(V$44*(-(50-$T44)*('Tenure Split (Mid and SW Wales)'!D$110/40)))</f>
        <v>#VALUE!</v>
      </c>
      <c r="X44" s="4" t="e">
        <f>W44*(1+'Tenure Split (Mid and SW Wales)'!E$109)+(W$44*(-(50-$T44)*('Tenure Split (Mid and SW Wales)'!E$110/40)))</f>
        <v>#VALUE!</v>
      </c>
      <c r="Y44" s="4" t="e">
        <f>X44*(1+'Tenure Split (Mid and SW Wales)'!F$109)+(X$44*(-(50-$T44)*('Tenure Split (Mid and SW Wales)'!F$110/40)))</f>
        <v>#VALUE!</v>
      </c>
      <c r="Z44" s="4" t="e">
        <f>Y44*(1+'Tenure Split (Mid and SW Wales)'!G$109)+(Y$44*(-(50-$T44)*('Tenure Split (Mid and SW Wales)'!G$110/40)))</f>
        <v>#VALUE!</v>
      </c>
      <c r="AB44" s="1">
        <v>50</v>
      </c>
      <c r="AC44" s="4">
        <f>IF('Tenure Split (WALES)'!$D$8="WG Estimates",'Income (Mid and SW Wales)'!D44,'Income (Mid and SW Wales)'!V44)</f>
        <v>26112.217086204011</v>
      </c>
      <c r="AD44" s="4">
        <f>IF('Tenure Split (WALES)'!$D$8="WG Estimates",'Income (Mid and SW Wales)'!E44,'Income (Mid and SW Wales)'!W44)</f>
        <v>26783.593378066158</v>
      </c>
      <c r="AE44" s="4">
        <f>IF('Tenure Split (WALES)'!$D$8="WG Estimates",'Income (Mid and SW Wales)'!F44,'Income (Mid and SW Wales)'!X44)</f>
        <v>27662.175901010829</v>
      </c>
      <c r="AF44" s="4">
        <f>IF('Tenure Split (WALES)'!$D$8="WG Estimates",'Income (Mid and SW Wales)'!G44,'Income (Mid and SW Wales)'!Y44)</f>
        <v>28688.051277999421</v>
      </c>
      <c r="AG44" s="4">
        <f>IF('Tenure Split (WALES)'!$D$8="WG Estimates",'Income (Mid and SW Wales)'!H44,'Income (Mid and SW Wales)'!Z44)</f>
        <v>29779.982285055976</v>
      </c>
    </row>
    <row r="45" spans="2:33" x14ac:dyDescent="0.25">
      <c r="B45" s="20">
        <v>51</v>
      </c>
      <c r="C45" s="58">
        <v>25646.93</v>
      </c>
      <c r="D45" s="59">
        <f>C45*(1+'Tenure Split (Mid and SW Wales)'!C$109)+(C$44*(-(50-$B45)*('Tenure Split (Mid and SW Wales)'!C$110/40)))</f>
        <v>26560.555743643072</v>
      </c>
      <c r="E45" s="59">
        <f>D45*(1+'Tenure Split (Mid and SW Wales)'!D$109)+(D$44*(-(50-$B45)*('Tenure Split (Mid and SW Wales)'!D$110/40)))</f>
        <v>27249.987412192029</v>
      </c>
      <c r="F45" s="59">
        <f>E45*(1+'Tenure Split (Mid and SW Wales)'!E$109)+(E$44*(-(50-$B45)*('Tenure Split (Mid and SW Wales)'!E$110/40)))</f>
        <v>28150.564962369735</v>
      </c>
      <c r="G45" s="59">
        <f>F45*(1+'Tenure Split (Mid and SW Wales)'!F$109)+(F$44*(-(50-$B45)*('Tenure Split (Mid and SW Wales)'!F$110/40)))</f>
        <v>29201.46820805567</v>
      </c>
      <c r="H45" s="60">
        <f>G45*(1+'Tenure Split (Mid and SW Wales)'!G$109)+(G$44*(-(50-$B45)*('Tenure Split (Mid and SW Wales)'!G$110/40)))</f>
        <v>30320.11301764911</v>
      </c>
      <c r="L45" s="64" t="str">
        <f t="shared" si="0"/>
        <v/>
      </c>
      <c r="M45" s="251"/>
      <c r="N45" s="14">
        <f t="shared" si="3"/>
        <v>1</v>
      </c>
      <c r="T45" s="1">
        <f t="shared" si="1"/>
        <v>51</v>
      </c>
      <c r="U45" s="4" t="str">
        <f t="shared" si="2"/>
        <v/>
      </c>
      <c r="V45" s="4" t="e">
        <f>IF($V$3=$M$3,M45,U45*(1+'Tenure Split (Mid and SW Wales)'!C$109)+(U$44*(-(50-$T45)*('Tenure Split (Mid and SW Wales)'!C$110/40))))</f>
        <v>#VALUE!</v>
      </c>
      <c r="W45" s="4" t="e">
        <f>V45*(1+'Tenure Split (Mid and SW Wales)'!D$109)+(V$44*(-(50-$T45)*('Tenure Split (Mid and SW Wales)'!D$110/40)))</f>
        <v>#VALUE!</v>
      </c>
      <c r="X45" s="4" t="e">
        <f>W45*(1+'Tenure Split (Mid and SW Wales)'!E$109)+(W$44*(-(50-$T45)*('Tenure Split (Mid and SW Wales)'!E$110/40)))</f>
        <v>#VALUE!</v>
      </c>
      <c r="Y45" s="4" t="e">
        <f>X45*(1+'Tenure Split (Mid and SW Wales)'!F$109)+(X$44*(-(50-$T45)*('Tenure Split (Mid and SW Wales)'!F$110/40)))</f>
        <v>#VALUE!</v>
      </c>
      <c r="Z45" s="4" t="e">
        <f>Y45*(1+'Tenure Split (Mid and SW Wales)'!G$109)+(Y$44*(-(50-$T45)*('Tenure Split (Mid and SW Wales)'!G$110/40)))</f>
        <v>#VALUE!</v>
      </c>
      <c r="AB45" s="1">
        <v>51</v>
      </c>
      <c r="AC45" s="4">
        <f>IF('Tenure Split (WALES)'!$D$8="WG Estimates",'Income (Mid and SW Wales)'!D45,'Income (Mid and SW Wales)'!V45)</f>
        <v>26560.555743643072</v>
      </c>
      <c r="AD45" s="4">
        <f>IF('Tenure Split (WALES)'!$D$8="WG Estimates",'Income (Mid and SW Wales)'!E45,'Income (Mid and SW Wales)'!W45)</f>
        <v>27249.987412192029</v>
      </c>
      <c r="AE45" s="4">
        <f>IF('Tenure Split (WALES)'!$D$8="WG Estimates",'Income (Mid and SW Wales)'!F45,'Income (Mid and SW Wales)'!X45)</f>
        <v>28150.564962369735</v>
      </c>
      <c r="AF45" s="4">
        <f>IF('Tenure Split (WALES)'!$D$8="WG Estimates",'Income (Mid and SW Wales)'!G45,'Income (Mid and SW Wales)'!Y45)</f>
        <v>29201.46820805567</v>
      </c>
      <c r="AG45" s="4">
        <f>IF('Tenure Split (WALES)'!$D$8="WG Estimates",'Income (Mid and SW Wales)'!H45,'Income (Mid and SW Wales)'!Z45)</f>
        <v>30320.11301764911</v>
      </c>
    </row>
    <row r="46" spans="2:33" x14ac:dyDescent="0.25">
      <c r="B46" s="20">
        <v>52</v>
      </c>
      <c r="C46" s="58">
        <v>26131.3</v>
      </c>
      <c r="D46" s="59">
        <f>C46*(1+'Tenure Split (Mid and SW Wales)'!C$109)+(C$44*(-(50-$B46)*('Tenure Split (Mid and SW Wales)'!C$110/40)))</f>
        <v>27068.366476793137</v>
      </c>
      <c r="E46" s="59">
        <f>D46*(1+'Tenure Split (Mid and SW Wales)'!D$109)+(D$44*(-(50-$B46)*('Tenure Split (Mid and SW Wales)'!D$110/40)))</f>
        <v>27777.382620133765</v>
      </c>
      <c r="F46" s="59">
        <f>E46*(1+'Tenure Split (Mid and SW Wales)'!E$109)+(E$44*(-(50-$B46)*('Tenure Split (Mid and SW Wales)'!E$110/40)))</f>
        <v>28701.956219753778</v>
      </c>
      <c r="G46" s="59">
        <f>F46*(1+'Tenure Split (Mid and SW Wales)'!F$109)+(F$44*(-(50-$B46)*('Tenure Split (Mid and SW Wales)'!F$110/40)))</f>
        <v>29780.223824289875</v>
      </c>
      <c r="H46" s="60">
        <f>G46*(1+'Tenure Split (Mid and SW Wales)'!G$109)+(G$44*(-(50-$B46)*('Tenure Split (Mid and SW Wales)'!G$110/40)))</f>
        <v>30928.069372068305</v>
      </c>
      <c r="L46" s="64" t="str">
        <f t="shared" si="0"/>
        <v/>
      </c>
      <c r="M46" s="251"/>
      <c r="N46" s="14">
        <f t="shared" si="3"/>
        <v>1</v>
      </c>
      <c r="T46" s="1">
        <f t="shared" si="1"/>
        <v>52</v>
      </c>
      <c r="U46" s="4" t="str">
        <f t="shared" si="2"/>
        <v/>
      </c>
      <c r="V46" s="4" t="e">
        <f>IF($V$3=$M$3,M46,U46*(1+'Tenure Split (Mid and SW Wales)'!C$109)+(U$44*(-(50-$T46)*('Tenure Split (Mid and SW Wales)'!C$110/40))))</f>
        <v>#VALUE!</v>
      </c>
      <c r="W46" s="4" t="e">
        <f>V46*(1+'Tenure Split (Mid and SW Wales)'!D$109)+(V$44*(-(50-$T46)*('Tenure Split (Mid and SW Wales)'!D$110/40)))</f>
        <v>#VALUE!</v>
      </c>
      <c r="X46" s="4" t="e">
        <f>W46*(1+'Tenure Split (Mid and SW Wales)'!E$109)+(W$44*(-(50-$T46)*('Tenure Split (Mid and SW Wales)'!E$110/40)))</f>
        <v>#VALUE!</v>
      </c>
      <c r="Y46" s="4" t="e">
        <f>X46*(1+'Tenure Split (Mid and SW Wales)'!F$109)+(X$44*(-(50-$T46)*('Tenure Split (Mid and SW Wales)'!F$110/40)))</f>
        <v>#VALUE!</v>
      </c>
      <c r="Z46" s="4" t="e">
        <f>Y46*(1+'Tenure Split (Mid and SW Wales)'!G$109)+(Y$44*(-(50-$T46)*('Tenure Split (Mid and SW Wales)'!G$110/40)))</f>
        <v>#VALUE!</v>
      </c>
      <c r="AB46" s="1">
        <v>52</v>
      </c>
      <c r="AC46" s="4">
        <f>IF('Tenure Split (WALES)'!$D$8="WG Estimates",'Income (Mid and SW Wales)'!D46,'Income (Mid and SW Wales)'!V46)</f>
        <v>27068.366476793137</v>
      </c>
      <c r="AD46" s="4">
        <f>IF('Tenure Split (WALES)'!$D$8="WG Estimates",'Income (Mid and SW Wales)'!E46,'Income (Mid and SW Wales)'!W46)</f>
        <v>27777.382620133765</v>
      </c>
      <c r="AE46" s="4">
        <f>IF('Tenure Split (WALES)'!$D$8="WG Estimates",'Income (Mid and SW Wales)'!F46,'Income (Mid and SW Wales)'!X46)</f>
        <v>28701.956219753778</v>
      </c>
      <c r="AF46" s="4">
        <f>IF('Tenure Split (WALES)'!$D$8="WG Estimates",'Income (Mid and SW Wales)'!G46,'Income (Mid and SW Wales)'!Y46)</f>
        <v>29780.223824289875</v>
      </c>
      <c r="AG46" s="4">
        <f>IF('Tenure Split (WALES)'!$D$8="WG Estimates",'Income (Mid and SW Wales)'!H46,'Income (Mid and SW Wales)'!Z46)</f>
        <v>30928.069372068305</v>
      </c>
    </row>
    <row r="47" spans="2:33" x14ac:dyDescent="0.25">
      <c r="B47" s="20">
        <v>53</v>
      </c>
      <c r="C47" s="58">
        <v>26545.599999999999</v>
      </c>
      <c r="D47" s="59">
        <f>C47*(1+'Tenure Split (Mid and SW Wales)'!C$109)+(C$44*(-(50-$B47)*('Tenure Split (Mid and SW Wales)'!C$110/40)))</f>
        <v>27503.62831814184</v>
      </c>
      <c r="E47" s="59">
        <f>D47*(1+'Tenure Split (Mid and SW Wales)'!D$109)+(D$44*(-(50-$B47)*('Tenure Split (Mid and SW Wales)'!D$110/40)))</f>
        <v>28230.363617607571</v>
      </c>
      <c r="F47" s="59">
        <f>E47*(1+'Tenure Split (Mid and SW Wales)'!E$109)+(E$44*(-(50-$B47)*('Tenure Split (Mid and SW Wales)'!E$110/40)))</f>
        <v>29176.492256464393</v>
      </c>
      <c r="G47" s="59">
        <f>F47*(1+'Tenure Split (Mid and SW Wales)'!F$109)+(F$44*(-(50-$B47)*('Tenure Split (Mid and SW Wales)'!F$110/40)))</f>
        <v>30279.273978468202</v>
      </c>
      <c r="H47" s="60">
        <f>G47*(1+'Tenure Split (Mid and SW Wales)'!G$109)+(G$44*(-(50-$B47)*('Tenure Split (Mid and SW Wales)'!G$110/40)))</f>
        <v>31453.286497355322</v>
      </c>
      <c r="L47" s="64" t="str">
        <f t="shared" si="0"/>
        <v/>
      </c>
      <c r="M47" s="251"/>
      <c r="N47" s="14">
        <f t="shared" si="3"/>
        <v>1</v>
      </c>
      <c r="T47" s="1">
        <f t="shared" si="1"/>
        <v>53</v>
      </c>
      <c r="U47" s="4" t="str">
        <f t="shared" si="2"/>
        <v/>
      </c>
      <c r="V47" s="4" t="e">
        <f>IF($V$3=$M$3,M47,U47*(1+'Tenure Split (Mid and SW Wales)'!C$109)+(U$44*(-(50-$T47)*('Tenure Split (Mid and SW Wales)'!C$110/40))))</f>
        <v>#VALUE!</v>
      </c>
      <c r="W47" s="4" t="e">
        <f>V47*(1+'Tenure Split (Mid and SW Wales)'!D$109)+(V$44*(-(50-$T47)*('Tenure Split (Mid and SW Wales)'!D$110/40)))</f>
        <v>#VALUE!</v>
      </c>
      <c r="X47" s="4" t="e">
        <f>W47*(1+'Tenure Split (Mid and SW Wales)'!E$109)+(W$44*(-(50-$T47)*('Tenure Split (Mid and SW Wales)'!E$110/40)))</f>
        <v>#VALUE!</v>
      </c>
      <c r="Y47" s="4" t="e">
        <f>X47*(1+'Tenure Split (Mid and SW Wales)'!F$109)+(X$44*(-(50-$T47)*('Tenure Split (Mid and SW Wales)'!F$110/40)))</f>
        <v>#VALUE!</v>
      </c>
      <c r="Z47" s="4" t="e">
        <f>Y47*(1+'Tenure Split (Mid and SW Wales)'!G$109)+(Y$44*(-(50-$T47)*('Tenure Split (Mid and SW Wales)'!G$110/40)))</f>
        <v>#VALUE!</v>
      </c>
      <c r="AB47" s="1">
        <v>53</v>
      </c>
      <c r="AC47" s="4">
        <f>IF('Tenure Split (WALES)'!$D$8="WG Estimates",'Income (Mid and SW Wales)'!D47,'Income (Mid and SW Wales)'!V47)</f>
        <v>27503.62831814184</v>
      </c>
      <c r="AD47" s="4">
        <f>IF('Tenure Split (WALES)'!$D$8="WG Estimates",'Income (Mid and SW Wales)'!E47,'Income (Mid and SW Wales)'!W47)</f>
        <v>28230.363617607571</v>
      </c>
      <c r="AE47" s="4">
        <f>IF('Tenure Split (WALES)'!$D$8="WG Estimates",'Income (Mid and SW Wales)'!F47,'Income (Mid and SW Wales)'!X47)</f>
        <v>29176.492256464393</v>
      </c>
      <c r="AF47" s="4">
        <f>IF('Tenure Split (WALES)'!$D$8="WG Estimates",'Income (Mid and SW Wales)'!G47,'Income (Mid and SW Wales)'!Y47)</f>
        <v>30279.273978468202</v>
      </c>
      <c r="AG47" s="4">
        <f>IF('Tenure Split (WALES)'!$D$8="WG Estimates",'Income (Mid and SW Wales)'!H47,'Income (Mid and SW Wales)'!Z47)</f>
        <v>31453.286497355322</v>
      </c>
    </row>
    <row r="48" spans="2:33" x14ac:dyDescent="0.25">
      <c r="B48" s="20">
        <v>54</v>
      </c>
      <c r="C48" s="58">
        <v>27186.5</v>
      </c>
      <c r="D48" s="59">
        <f>C48*(1+'Tenure Split (Mid and SW Wales)'!C$109)+(C$44*(-(50-$B48)*('Tenure Split (Mid and SW Wales)'!C$110/40)))</f>
        <v>28173.506669868573</v>
      </c>
      <c r="E48" s="59">
        <f>D48*(1+'Tenure Split (Mid and SW Wales)'!D$109)+(D$44*(-(50-$B48)*('Tenure Split (Mid and SW Wales)'!D$110/40)))</f>
        <v>28923.993396186448</v>
      </c>
      <c r="F48" s="59">
        <f>E48*(1+'Tenure Split (Mid and SW Wales)'!E$109)+(E$44*(-(50-$B48)*('Tenure Split (Mid and SW Wales)'!E$110/40)))</f>
        <v>29899.571079026282</v>
      </c>
      <c r="G48" s="59">
        <f>F48*(1+'Tenure Split (Mid and SW Wales)'!F$109)+(F$44*(-(50-$B48)*('Tenure Split (Mid and SW Wales)'!F$110/40)))</f>
        <v>31036.084339609046</v>
      </c>
      <c r="H48" s="60">
        <f>G48*(1+'Tenure Split (Mid and SW Wales)'!G$109)+(G$44*(-(50-$B48)*('Tenure Split (Mid and SW Wales)'!G$110/40)))</f>
        <v>32246.074756099661</v>
      </c>
      <c r="L48" s="64" t="str">
        <f t="shared" si="0"/>
        <v/>
      </c>
      <c r="M48" s="251"/>
      <c r="N48" s="14">
        <f t="shared" si="3"/>
        <v>1</v>
      </c>
      <c r="T48" s="1">
        <f t="shared" si="1"/>
        <v>54</v>
      </c>
      <c r="U48" s="4" t="str">
        <f t="shared" si="2"/>
        <v/>
      </c>
      <c r="V48" s="4" t="e">
        <f>IF($V$3=$M$3,M48,U48*(1+'Tenure Split (Mid and SW Wales)'!C$109)+(U$44*(-(50-$T48)*('Tenure Split (Mid and SW Wales)'!C$110/40))))</f>
        <v>#VALUE!</v>
      </c>
      <c r="W48" s="4" t="e">
        <f>V48*(1+'Tenure Split (Mid and SW Wales)'!D$109)+(V$44*(-(50-$T48)*('Tenure Split (Mid and SW Wales)'!D$110/40)))</f>
        <v>#VALUE!</v>
      </c>
      <c r="X48" s="4" t="e">
        <f>W48*(1+'Tenure Split (Mid and SW Wales)'!E$109)+(W$44*(-(50-$T48)*('Tenure Split (Mid and SW Wales)'!E$110/40)))</f>
        <v>#VALUE!</v>
      </c>
      <c r="Y48" s="4" t="e">
        <f>X48*(1+'Tenure Split (Mid and SW Wales)'!F$109)+(X$44*(-(50-$T48)*('Tenure Split (Mid and SW Wales)'!F$110/40)))</f>
        <v>#VALUE!</v>
      </c>
      <c r="Z48" s="4" t="e">
        <f>Y48*(1+'Tenure Split (Mid and SW Wales)'!G$109)+(Y$44*(-(50-$T48)*('Tenure Split (Mid and SW Wales)'!G$110/40)))</f>
        <v>#VALUE!</v>
      </c>
      <c r="AB48" s="1">
        <v>54</v>
      </c>
      <c r="AC48" s="4">
        <f>IF('Tenure Split (WALES)'!$D$8="WG Estimates",'Income (Mid and SW Wales)'!D48,'Income (Mid and SW Wales)'!V48)</f>
        <v>28173.506669868573</v>
      </c>
      <c r="AD48" s="4">
        <f>IF('Tenure Split (WALES)'!$D$8="WG Estimates",'Income (Mid and SW Wales)'!E48,'Income (Mid and SW Wales)'!W48)</f>
        <v>28923.993396186448</v>
      </c>
      <c r="AE48" s="4">
        <f>IF('Tenure Split (WALES)'!$D$8="WG Estimates",'Income (Mid and SW Wales)'!F48,'Income (Mid and SW Wales)'!X48)</f>
        <v>29899.571079026282</v>
      </c>
      <c r="AF48" s="4">
        <f>IF('Tenure Split (WALES)'!$D$8="WG Estimates",'Income (Mid and SW Wales)'!G48,'Income (Mid and SW Wales)'!Y48)</f>
        <v>31036.084339609046</v>
      </c>
      <c r="AG48" s="4">
        <f>IF('Tenure Split (WALES)'!$D$8="WG Estimates",'Income (Mid and SW Wales)'!H48,'Income (Mid and SW Wales)'!Z48)</f>
        <v>32246.074756099661</v>
      </c>
    </row>
    <row r="49" spans="2:33" x14ac:dyDescent="0.25">
      <c r="B49" s="20">
        <v>55</v>
      </c>
      <c r="C49" s="58">
        <v>27764.7</v>
      </c>
      <c r="D49" s="59">
        <f>C49*(1+'Tenure Split (Mid and SW Wales)'!C$109)+(C$44*(-(50-$B49)*('Tenure Split (Mid and SW Wales)'!C$110/40)))</f>
        <v>28778.466860956723</v>
      </c>
      <c r="E49" s="59">
        <f>D49*(1+'Tenure Split (Mid and SW Wales)'!D$109)+(D$44*(-(50-$B49)*('Tenure Split (Mid and SW Wales)'!D$110/40)))</f>
        <v>29551.035890673145</v>
      </c>
      <c r="F49" s="59">
        <f>E49*(1+'Tenure Split (Mid and SW Wales)'!E$109)+(E$44*(-(50-$B49)*('Tenure Split (Mid and SW Wales)'!E$110/40)))</f>
        <v>30553.878354046799</v>
      </c>
      <c r="G49" s="59">
        <f>F49*(1+'Tenure Split (Mid and SW Wales)'!F$109)+(F$44*(-(50-$B49)*('Tenure Split (Mid and SW Wales)'!F$110/40)))</f>
        <v>31721.572701735986</v>
      </c>
      <c r="H49" s="60">
        <f>G49*(1+'Tenure Split (Mid and SW Wales)'!G$109)+(G$44*(-(50-$B49)*('Tenure Split (Mid and SW Wales)'!G$110/40)))</f>
        <v>32964.82634199415</v>
      </c>
      <c r="L49" s="64" t="str">
        <f t="shared" si="0"/>
        <v/>
      </c>
      <c r="M49" s="251"/>
      <c r="N49" s="14">
        <f t="shared" si="3"/>
        <v>1</v>
      </c>
      <c r="T49" s="1">
        <f t="shared" si="1"/>
        <v>55</v>
      </c>
      <c r="U49" s="4" t="str">
        <f t="shared" si="2"/>
        <v/>
      </c>
      <c r="V49" s="4" t="e">
        <f>IF($V$3=$M$3,M49,U49*(1+'Tenure Split (Mid and SW Wales)'!C$109)+(U$44*(-(50-$T49)*('Tenure Split (Mid and SW Wales)'!C$110/40))))</f>
        <v>#VALUE!</v>
      </c>
      <c r="W49" s="4" t="e">
        <f>V49*(1+'Tenure Split (Mid and SW Wales)'!D$109)+(V$44*(-(50-$T49)*('Tenure Split (Mid and SW Wales)'!D$110/40)))</f>
        <v>#VALUE!</v>
      </c>
      <c r="X49" s="4" t="e">
        <f>W49*(1+'Tenure Split (Mid and SW Wales)'!E$109)+(W$44*(-(50-$T49)*('Tenure Split (Mid and SW Wales)'!E$110/40)))</f>
        <v>#VALUE!</v>
      </c>
      <c r="Y49" s="4" t="e">
        <f>X49*(1+'Tenure Split (Mid and SW Wales)'!F$109)+(X$44*(-(50-$T49)*('Tenure Split (Mid and SW Wales)'!F$110/40)))</f>
        <v>#VALUE!</v>
      </c>
      <c r="Z49" s="4" t="e">
        <f>Y49*(1+'Tenure Split (Mid and SW Wales)'!G$109)+(Y$44*(-(50-$T49)*('Tenure Split (Mid and SW Wales)'!G$110/40)))</f>
        <v>#VALUE!</v>
      </c>
      <c r="AB49" s="1">
        <v>55</v>
      </c>
      <c r="AC49" s="4">
        <f>IF('Tenure Split (WALES)'!$D$8="WG Estimates",'Income (Mid and SW Wales)'!D49,'Income (Mid and SW Wales)'!V49)</f>
        <v>28778.466860956723</v>
      </c>
      <c r="AD49" s="4">
        <f>IF('Tenure Split (WALES)'!$D$8="WG Estimates",'Income (Mid and SW Wales)'!E49,'Income (Mid and SW Wales)'!W49)</f>
        <v>29551.035890673145</v>
      </c>
      <c r="AE49" s="4">
        <f>IF('Tenure Split (WALES)'!$D$8="WG Estimates",'Income (Mid and SW Wales)'!F49,'Income (Mid and SW Wales)'!X49)</f>
        <v>30553.878354046799</v>
      </c>
      <c r="AF49" s="4">
        <f>IF('Tenure Split (WALES)'!$D$8="WG Estimates",'Income (Mid and SW Wales)'!G49,'Income (Mid and SW Wales)'!Y49)</f>
        <v>31721.572701735986</v>
      </c>
      <c r="AG49" s="4">
        <f>IF('Tenure Split (WALES)'!$D$8="WG Estimates",'Income (Mid and SW Wales)'!H49,'Income (Mid and SW Wales)'!Z49)</f>
        <v>32964.82634199415</v>
      </c>
    </row>
    <row r="50" spans="2:33" x14ac:dyDescent="0.25">
      <c r="B50" s="20">
        <v>56</v>
      </c>
      <c r="C50" s="58">
        <v>28070</v>
      </c>
      <c r="D50" s="59">
        <f>C50*(1+'Tenure Split (Mid and SW Wales)'!C$109)+(C$44*(-(50-$B50)*('Tenure Split (Mid and SW Wales)'!C$110/40)))</f>
        <v>29100.872569775838</v>
      </c>
      <c r="E50" s="59">
        <f>D50*(1+'Tenure Split (Mid and SW Wales)'!D$109)+(D$44*(-(50-$B50)*('Tenure Split (Mid and SW Wales)'!D$110/40)))</f>
        <v>29888.259089645398</v>
      </c>
      <c r="F50" s="59">
        <f>E50*(1+'Tenure Split (Mid and SW Wales)'!E$109)+(E$44*(-(50-$B50)*('Tenure Split (Mid and SW Wales)'!E$110/40)))</f>
        <v>30908.859387854554</v>
      </c>
      <c r="G50" s="59">
        <f>F50*(1+'Tenure Split (Mid and SW Wales)'!F$109)+(F$44*(-(50-$B50)*('Tenure Split (Mid and SW Wales)'!F$110/40)))</f>
        <v>32096.634053800833</v>
      </c>
      <c r="H50" s="60">
        <f>G50*(1+'Tenure Split (Mid and SW Wales)'!G$109)+(G$44*(-(50-$B50)*('Tenure Split (Mid and SW Wales)'!G$110/40)))</f>
        <v>33361.335375724026</v>
      </c>
      <c r="L50" s="64" t="str">
        <f t="shared" si="0"/>
        <v/>
      </c>
      <c r="M50" s="251"/>
      <c r="N50" s="14">
        <f t="shared" si="3"/>
        <v>1</v>
      </c>
      <c r="T50" s="1">
        <f t="shared" si="1"/>
        <v>56</v>
      </c>
      <c r="U50" s="4" t="str">
        <f t="shared" si="2"/>
        <v/>
      </c>
      <c r="V50" s="4" t="e">
        <f>IF($V$3=$M$3,M50,U50*(1+'Tenure Split (Mid and SW Wales)'!C$109)+(U$44*(-(50-$T50)*('Tenure Split (Mid and SW Wales)'!C$110/40))))</f>
        <v>#VALUE!</v>
      </c>
      <c r="W50" s="4" t="e">
        <f>V50*(1+'Tenure Split (Mid and SW Wales)'!D$109)+(V$44*(-(50-$T50)*('Tenure Split (Mid and SW Wales)'!D$110/40)))</f>
        <v>#VALUE!</v>
      </c>
      <c r="X50" s="4" t="e">
        <f>W50*(1+'Tenure Split (Mid and SW Wales)'!E$109)+(W$44*(-(50-$T50)*('Tenure Split (Mid and SW Wales)'!E$110/40)))</f>
        <v>#VALUE!</v>
      </c>
      <c r="Y50" s="4" t="e">
        <f>X50*(1+'Tenure Split (Mid and SW Wales)'!F$109)+(X$44*(-(50-$T50)*('Tenure Split (Mid and SW Wales)'!F$110/40)))</f>
        <v>#VALUE!</v>
      </c>
      <c r="Z50" s="4" t="e">
        <f>Y50*(1+'Tenure Split (Mid and SW Wales)'!G$109)+(Y$44*(-(50-$T50)*('Tenure Split (Mid and SW Wales)'!G$110/40)))</f>
        <v>#VALUE!</v>
      </c>
      <c r="AB50" s="1">
        <v>56</v>
      </c>
      <c r="AC50" s="4">
        <f>IF('Tenure Split (WALES)'!$D$8="WG Estimates",'Income (Mid and SW Wales)'!D50,'Income (Mid and SW Wales)'!V50)</f>
        <v>29100.872569775838</v>
      </c>
      <c r="AD50" s="4">
        <f>IF('Tenure Split (WALES)'!$D$8="WG Estimates",'Income (Mid and SW Wales)'!E50,'Income (Mid and SW Wales)'!W50)</f>
        <v>29888.259089645398</v>
      </c>
      <c r="AE50" s="4">
        <f>IF('Tenure Split (WALES)'!$D$8="WG Estimates",'Income (Mid and SW Wales)'!F50,'Income (Mid and SW Wales)'!X50)</f>
        <v>30908.859387854554</v>
      </c>
      <c r="AF50" s="4">
        <f>IF('Tenure Split (WALES)'!$D$8="WG Estimates",'Income (Mid and SW Wales)'!G50,'Income (Mid and SW Wales)'!Y50)</f>
        <v>32096.634053800833</v>
      </c>
      <c r="AG50" s="4">
        <f>IF('Tenure Split (WALES)'!$D$8="WG Estimates",'Income (Mid and SW Wales)'!H50,'Income (Mid and SW Wales)'!Z50)</f>
        <v>33361.335375724026</v>
      </c>
    </row>
    <row r="51" spans="2:33" x14ac:dyDescent="0.25">
      <c r="B51" s="20">
        <v>57</v>
      </c>
      <c r="C51" s="58">
        <v>28779.8</v>
      </c>
      <c r="D51" s="59">
        <f>C51*(1+'Tenure Split (Mid and SW Wales)'!C$109)+(C$44*(-(50-$B51)*('Tenure Split (Mid and SW Wales)'!C$110/40)))</f>
        <v>29842.08842178962</v>
      </c>
      <c r="E51" s="59">
        <f>D51*(1+'Tenure Split (Mid and SW Wales)'!D$109)+(D$44*(-(50-$B51)*('Tenure Split (Mid and SW Wales)'!D$110/40)))</f>
        <v>30655.060540855069</v>
      </c>
      <c r="F51" s="59">
        <f>E51*(1+'Tenure Split (Mid and SW Wales)'!E$109)+(E$44*(-(50-$B51)*('Tenure Split (Mid and SW Wales)'!E$110/40)))</f>
        <v>31707.510134269716</v>
      </c>
      <c r="G51" s="59">
        <f>F51*(1+'Tenure Split (Mid and SW Wales)'!F$109)+(F$44*(-(50-$B51)*('Tenure Split (Mid and SW Wales)'!F$110/40)))</f>
        <v>32931.818988020743</v>
      </c>
      <c r="H51" s="60">
        <f>G51*(1+'Tenure Split (Mid and SW Wales)'!G$109)+(G$44*(-(50-$B51)*('Tenure Split (Mid and SW Wales)'!G$110/40)))</f>
        <v>34235.481318030623</v>
      </c>
      <c r="L51" s="64" t="str">
        <f t="shared" si="0"/>
        <v/>
      </c>
      <c r="M51" s="251"/>
      <c r="N51" s="14">
        <f t="shared" si="3"/>
        <v>1</v>
      </c>
      <c r="T51" s="1">
        <f t="shared" si="1"/>
        <v>57</v>
      </c>
      <c r="U51" s="4" t="str">
        <f t="shared" si="2"/>
        <v/>
      </c>
      <c r="V51" s="4" t="e">
        <f>IF($V$3=$M$3,M51,U51*(1+'Tenure Split (Mid and SW Wales)'!C$109)+(U$44*(-(50-$T51)*('Tenure Split (Mid and SW Wales)'!C$110/40))))</f>
        <v>#VALUE!</v>
      </c>
      <c r="W51" s="4" t="e">
        <f>V51*(1+'Tenure Split (Mid and SW Wales)'!D$109)+(V$44*(-(50-$T51)*('Tenure Split (Mid and SW Wales)'!D$110/40)))</f>
        <v>#VALUE!</v>
      </c>
      <c r="X51" s="4" t="e">
        <f>W51*(1+'Tenure Split (Mid and SW Wales)'!E$109)+(W$44*(-(50-$T51)*('Tenure Split (Mid and SW Wales)'!E$110/40)))</f>
        <v>#VALUE!</v>
      </c>
      <c r="Y51" s="4" t="e">
        <f>X51*(1+'Tenure Split (Mid and SW Wales)'!F$109)+(X$44*(-(50-$T51)*('Tenure Split (Mid and SW Wales)'!F$110/40)))</f>
        <v>#VALUE!</v>
      </c>
      <c r="Z51" s="4" t="e">
        <f>Y51*(1+'Tenure Split (Mid and SW Wales)'!G$109)+(Y$44*(-(50-$T51)*('Tenure Split (Mid and SW Wales)'!G$110/40)))</f>
        <v>#VALUE!</v>
      </c>
      <c r="AB51" s="1">
        <v>57</v>
      </c>
      <c r="AC51" s="4">
        <f>IF('Tenure Split (WALES)'!$D$8="WG Estimates",'Income (Mid and SW Wales)'!D51,'Income (Mid and SW Wales)'!V51)</f>
        <v>29842.08842178962</v>
      </c>
      <c r="AD51" s="4">
        <f>IF('Tenure Split (WALES)'!$D$8="WG Estimates",'Income (Mid and SW Wales)'!E51,'Income (Mid and SW Wales)'!W51)</f>
        <v>30655.060540855069</v>
      </c>
      <c r="AE51" s="4">
        <f>IF('Tenure Split (WALES)'!$D$8="WG Estimates",'Income (Mid and SW Wales)'!F51,'Income (Mid and SW Wales)'!X51)</f>
        <v>31707.510134269716</v>
      </c>
      <c r="AF51" s="4">
        <f>IF('Tenure Split (WALES)'!$D$8="WG Estimates",'Income (Mid and SW Wales)'!G51,'Income (Mid and SW Wales)'!Y51)</f>
        <v>32931.818988020743</v>
      </c>
      <c r="AG51" s="4">
        <f>IF('Tenure Split (WALES)'!$D$8="WG Estimates",'Income (Mid and SW Wales)'!H51,'Income (Mid and SW Wales)'!Z51)</f>
        <v>34235.481318030623</v>
      </c>
    </row>
    <row r="52" spans="2:33" x14ac:dyDescent="0.25">
      <c r="B52" s="20">
        <v>58</v>
      </c>
      <c r="C52" s="58">
        <v>29397</v>
      </c>
      <c r="D52" s="59">
        <f>C52*(1+'Tenure Split (Mid and SW Wales)'!C$109)+(C$44*(-(50-$B52)*('Tenure Split (Mid and SW Wales)'!C$110/40)))</f>
        <v>30487.428330021383</v>
      </c>
      <c r="E52" s="59">
        <f>D52*(1+'Tenure Split (Mid and SW Wales)'!D$109)+(D$44*(-(50-$B52)*('Tenure Split (Mid and SW Wales)'!D$110/40)))</f>
        <v>31323.520963245988</v>
      </c>
      <c r="F52" s="59">
        <f>E52*(1+'Tenure Split (Mid and SW Wales)'!E$109)+(E$44*(-(50-$B52)*('Tenure Split (Mid and SW Wales)'!E$110/40)))</f>
        <v>32404.59396996189</v>
      </c>
      <c r="G52" s="59">
        <f>F52*(1+'Tenure Split (Mid and SW Wales)'!F$109)+(F$44*(-(50-$B52)*('Tenure Split (Mid and SW Wales)'!F$110/40)))</f>
        <v>33661.670316041491</v>
      </c>
      <c r="H52" s="60">
        <f>G52*(1+'Tenure Split (Mid and SW Wales)'!G$109)+(G$44*(-(50-$B52)*('Tenure Split (Mid and SW Wales)'!G$110/40)))</f>
        <v>35000.284422922618</v>
      </c>
      <c r="L52" s="64" t="str">
        <f t="shared" si="0"/>
        <v/>
      </c>
      <c r="M52" s="251"/>
      <c r="N52" s="14">
        <f t="shared" si="3"/>
        <v>1</v>
      </c>
      <c r="T52" s="1">
        <f t="shared" si="1"/>
        <v>58</v>
      </c>
      <c r="U52" s="4" t="str">
        <f t="shared" si="2"/>
        <v/>
      </c>
      <c r="V52" s="4" t="e">
        <f>IF($V$3=$M$3,M52,U52*(1+'Tenure Split (Mid and SW Wales)'!C$109)+(U$44*(-(50-$T52)*('Tenure Split (Mid and SW Wales)'!C$110/40))))</f>
        <v>#VALUE!</v>
      </c>
      <c r="W52" s="4" t="e">
        <f>V52*(1+'Tenure Split (Mid and SW Wales)'!D$109)+(V$44*(-(50-$T52)*('Tenure Split (Mid and SW Wales)'!D$110/40)))</f>
        <v>#VALUE!</v>
      </c>
      <c r="X52" s="4" t="e">
        <f>W52*(1+'Tenure Split (Mid and SW Wales)'!E$109)+(W$44*(-(50-$T52)*('Tenure Split (Mid and SW Wales)'!E$110/40)))</f>
        <v>#VALUE!</v>
      </c>
      <c r="Y52" s="4" t="e">
        <f>X52*(1+'Tenure Split (Mid and SW Wales)'!F$109)+(X$44*(-(50-$T52)*('Tenure Split (Mid and SW Wales)'!F$110/40)))</f>
        <v>#VALUE!</v>
      </c>
      <c r="Z52" s="4" t="e">
        <f>Y52*(1+'Tenure Split (Mid and SW Wales)'!G$109)+(Y$44*(-(50-$T52)*('Tenure Split (Mid and SW Wales)'!G$110/40)))</f>
        <v>#VALUE!</v>
      </c>
      <c r="AB52" s="1">
        <v>58</v>
      </c>
      <c r="AC52" s="4">
        <f>IF('Tenure Split (WALES)'!$D$8="WG Estimates",'Income (Mid and SW Wales)'!D52,'Income (Mid and SW Wales)'!V52)</f>
        <v>30487.428330021383</v>
      </c>
      <c r="AD52" s="4">
        <f>IF('Tenure Split (WALES)'!$D$8="WG Estimates",'Income (Mid and SW Wales)'!E52,'Income (Mid and SW Wales)'!W52)</f>
        <v>31323.520963245988</v>
      </c>
      <c r="AE52" s="4">
        <f>IF('Tenure Split (WALES)'!$D$8="WG Estimates",'Income (Mid and SW Wales)'!F52,'Income (Mid and SW Wales)'!X52)</f>
        <v>32404.59396996189</v>
      </c>
      <c r="AF52" s="4">
        <f>IF('Tenure Split (WALES)'!$D$8="WG Estimates",'Income (Mid and SW Wales)'!G52,'Income (Mid and SW Wales)'!Y52)</f>
        <v>33661.670316041491</v>
      </c>
      <c r="AG52" s="4">
        <f>IF('Tenure Split (WALES)'!$D$8="WG Estimates",'Income (Mid and SW Wales)'!H52,'Income (Mid and SW Wales)'!Z52)</f>
        <v>35000.284422922618</v>
      </c>
    </row>
    <row r="53" spans="2:33" x14ac:dyDescent="0.25">
      <c r="B53" s="20">
        <v>59</v>
      </c>
      <c r="C53" s="58">
        <v>29875</v>
      </c>
      <c r="D53" s="59">
        <f>C53*(1+'Tenure Split (Mid and SW Wales)'!C$109)+(C$44*(-(50-$B53)*('Tenure Split (Mid and SW Wales)'!C$110/40)))</f>
        <v>30988.643709371325</v>
      </c>
      <c r="E53" s="59">
        <f>D53*(1+'Tenure Split (Mid and SW Wales)'!D$109)+(D$44*(-(50-$B53)*('Tenure Split (Mid and SW Wales)'!D$110/40)))</f>
        <v>31844.151242963366</v>
      </c>
      <c r="F53" s="59">
        <f>E53*(1+'Tenure Split (Mid and SW Wales)'!E$109)+(E$44*(-(50-$B53)*('Tenure Split (Mid and SW Wales)'!E$110/40)))</f>
        <v>32948.998389102897</v>
      </c>
      <c r="G53" s="59">
        <f>F53*(1+'Tenure Split (Mid and SW Wales)'!F$109)+(F$44*(-(50-$B53)*('Tenure Split (Mid and SW Wales)'!F$110/40)))</f>
        <v>34233.17998117971</v>
      </c>
      <c r="H53" s="60">
        <f>G53*(1+'Tenure Split (Mid and SW Wales)'!G$109)+(G$44*(-(50-$B53)*('Tenure Split (Mid and SW Wales)'!G$110/40)))</f>
        <v>35600.719029238891</v>
      </c>
      <c r="L53" s="64" t="str">
        <f t="shared" si="0"/>
        <v/>
      </c>
      <c r="M53" s="251"/>
      <c r="N53" s="14">
        <f t="shared" si="3"/>
        <v>1</v>
      </c>
      <c r="T53" s="1">
        <f t="shared" si="1"/>
        <v>59</v>
      </c>
      <c r="U53" s="4" t="str">
        <f t="shared" si="2"/>
        <v/>
      </c>
      <c r="V53" s="4" t="e">
        <f>IF($V$3=$M$3,M53,U53*(1+'Tenure Split (Mid and SW Wales)'!C$109)+(U$44*(-(50-$T53)*('Tenure Split (Mid and SW Wales)'!C$110/40))))</f>
        <v>#VALUE!</v>
      </c>
      <c r="W53" s="4" t="e">
        <f>V53*(1+'Tenure Split (Mid and SW Wales)'!D$109)+(V$44*(-(50-$T53)*('Tenure Split (Mid and SW Wales)'!D$110/40)))</f>
        <v>#VALUE!</v>
      </c>
      <c r="X53" s="4" t="e">
        <f>W53*(1+'Tenure Split (Mid and SW Wales)'!E$109)+(W$44*(-(50-$T53)*('Tenure Split (Mid and SW Wales)'!E$110/40)))</f>
        <v>#VALUE!</v>
      </c>
      <c r="Y53" s="4" t="e">
        <f>X53*(1+'Tenure Split (Mid and SW Wales)'!F$109)+(X$44*(-(50-$T53)*('Tenure Split (Mid and SW Wales)'!F$110/40)))</f>
        <v>#VALUE!</v>
      </c>
      <c r="Z53" s="4" t="e">
        <f>Y53*(1+'Tenure Split (Mid and SW Wales)'!G$109)+(Y$44*(-(50-$T53)*('Tenure Split (Mid and SW Wales)'!G$110/40)))</f>
        <v>#VALUE!</v>
      </c>
      <c r="AB53" s="1">
        <v>59</v>
      </c>
      <c r="AC53" s="4">
        <f>IF('Tenure Split (WALES)'!$D$8="WG Estimates",'Income (Mid and SW Wales)'!D53,'Income (Mid and SW Wales)'!V53)</f>
        <v>30988.643709371325</v>
      </c>
      <c r="AD53" s="4">
        <f>IF('Tenure Split (WALES)'!$D$8="WG Estimates",'Income (Mid and SW Wales)'!E53,'Income (Mid and SW Wales)'!W53)</f>
        <v>31844.151242963366</v>
      </c>
      <c r="AE53" s="4">
        <f>IF('Tenure Split (WALES)'!$D$8="WG Estimates",'Income (Mid and SW Wales)'!F53,'Income (Mid and SW Wales)'!X53)</f>
        <v>32948.998389102897</v>
      </c>
      <c r="AF53" s="4">
        <f>IF('Tenure Split (WALES)'!$D$8="WG Estimates",'Income (Mid and SW Wales)'!G53,'Income (Mid and SW Wales)'!Y53)</f>
        <v>34233.17998117971</v>
      </c>
      <c r="AG53" s="4">
        <f>IF('Tenure Split (WALES)'!$D$8="WG Estimates",'Income (Mid and SW Wales)'!H53,'Income (Mid and SW Wales)'!Z53)</f>
        <v>35600.719029238891</v>
      </c>
    </row>
    <row r="54" spans="2:33" x14ac:dyDescent="0.25">
      <c r="B54" s="20">
        <v>60</v>
      </c>
      <c r="C54" s="58">
        <v>30386.5</v>
      </c>
      <c r="D54" s="59">
        <f>C54*(1+'Tenure Split (Mid and SW Wales)'!C$109)+(C$44*(-(50-$B54)*('Tenure Split (Mid and SW Wales)'!C$110/40)))</f>
        <v>31524.544230370269</v>
      </c>
      <c r="E54" s="59">
        <f>D54*(1+'Tenure Split (Mid and SW Wales)'!D$109)+(D$44*(-(50-$B54)*('Tenure Split (Mid and SW Wales)'!D$110/40)))</f>
        <v>32400.358460752323</v>
      </c>
      <c r="F54" s="59">
        <f>E54*(1+'Tenure Split (Mid and SW Wales)'!E$109)+(E$44*(-(50-$B54)*('Tenure Split (Mid and SW Wales)'!E$110/40)))</f>
        <v>33530.146777025977</v>
      </c>
      <c r="G54" s="59">
        <f>F54*(1+'Tenure Split (Mid and SW Wales)'!F$109)+(F$44*(-(50-$B54)*('Tenure Split (Mid and SW Wales)'!F$110/40)))</f>
        <v>34842.796296508772</v>
      </c>
      <c r="H54" s="60">
        <f>G54*(1+'Tenure Split (Mid and SW Wales)'!G$109)+(G$44*(-(50-$B54)*('Tenure Split (Mid and SW Wales)'!G$110/40)))</f>
        <v>36240.71070956585</v>
      </c>
      <c r="L54" s="64" t="str">
        <f t="shared" si="0"/>
        <v/>
      </c>
      <c r="M54" s="251"/>
      <c r="N54" s="14">
        <f t="shared" si="3"/>
        <v>1</v>
      </c>
      <c r="T54" s="1">
        <f t="shared" si="1"/>
        <v>60</v>
      </c>
      <c r="U54" s="4" t="str">
        <f t="shared" si="2"/>
        <v/>
      </c>
      <c r="V54" s="4" t="e">
        <f>IF($V$3=$M$3,M54,U54*(1+'Tenure Split (Mid and SW Wales)'!C$109)+(U$44*(-(50-$T54)*('Tenure Split (Mid and SW Wales)'!C$110/40))))</f>
        <v>#VALUE!</v>
      </c>
      <c r="W54" s="4" t="e">
        <f>V54*(1+'Tenure Split (Mid and SW Wales)'!D$109)+(V$44*(-(50-$T54)*('Tenure Split (Mid and SW Wales)'!D$110/40)))</f>
        <v>#VALUE!</v>
      </c>
      <c r="X54" s="4" t="e">
        <f>W54*(1+'Tenure Split (Mid and SW Wales)'!E$109)+(W$44*(-(50-$T54)*('Tenure Split (Mid and SW Wales)'!E$110/40)))</f>
        <v>#VALUE!</v>
      </c>
      <c r="Y54" s="4" t="e">
        <f>X54*(1+'Tenure Split (Mid and SW Wales)'!F$109)+(X$44*(-(50-$T54)*('Tenure Split (Mid and SW Wales)'!F$110/40)))</f>
        <v>#VALUE!</v>
      </c>
      <c r="Z54" s="4" t="e">
        <f>Y54*(1+'Tenure Split (Mid and SW Wales)'!G$109)+(Y$44*(-(50-$T54)*('Tenure Split (Mid and SW Wales)'!G$110/40)))</f>
        <v>#VALUE!</v>
      </c>
      <c r="AB54" s="1">
        <v>60</v>
      </c>
      <c r="AC54" s="4">
        <f>IF('Tenure Split (WALES)'!$D$8="WG Estimates",'Income (Mid and SW Wales)'!D54,'Income (Mid and SW Wales)'!V54)</f>
        <v>31524.544230370269</v>
      </c>
      <c r="AD54" s="4">
        <f>IF('Tenure Split (WALES)'!$D$8="WG Estimates",'Income (Mid and SW Wales)'!E54,'Income (Mid and SW Wales)'!W54)</f>
        <v>32400.358460752323</v>
      </c>
      <c r="AE54" s="4">
        <f>IF('Tenure Split (WALES)'!$D$8="WG Estimates",'Income (Mid and SW Wales)'!F54,'Income (Mid and SW Wales)'!X54)</f>
        <v>33530.146777025977</v>
      </c>
      <c r="AF54" s="4">
        <f>IF('Tenure Split (WALES)'!$D$8="WG Estimates",'Income (Mid and SW Wales)'!G54,'Income (Mid and SW Wales)'!Y54)</f>
        <v>34842.796296508772</v>
      </c>
      <c r="AG54" s="4">
        <f>IF('Tenure Split (WALES)'!$D$8="WG Estimates",'Income (Mid and SW Wales)'!H54,'Income (Mid and SW Wales)'!Z54)</f>
        <v>36240.71070956585</v>
      </c>
    </row>
    <row r="55" spans="2:33" x14ac:dyDescent="0.25">
      <c r="B55" s="20">
        <v>61</v>
      </c>
      <c r="C55" s="58">
        <v>30992</v>
      </c>
      <c r="D55" s="59">
        <f>C55*(1+'Tenure Split (Mid and SW Wales)'!C$109)+(C$44*(-(50-$B55)*('Tenure Split (Mid and SW Wales)'!C$110/40)))</f>
        <v>32157.770223458952</v>
      </c>
      <c r="E55" s="59">
        <f>D55*(1+'Tenure Split (Mid and SW Wales)'!D$109)+(D$44*(-(50-$B55)*('Tenure Split (Mid and SW Wales)'!D$110/40)))</f>
        <v>33056.393504771979</v>
      </c>
      <c r="F55" s="59">
        <f>E55*(1+'Tenure Split (Mid and SW Wales)'!E$109)+(E$44*(-(50-$B55)*('Tenure Split (Mid and SW Wales)'!E$110/40)))</f>
        <v>34214.397644516663</v>
      </c>
      <c r="G55" s="59">
        <f>F55*(1+'Tenure Split (Mid and SW Wales)'!F$109)+(F$44*(-(50-$B55)*('Tenure Split (Mid and SW Wales)'!F$110/40)))</f>
        <v>35559.33873476139</v>
      </c>
      <c r="H55" s="60">
        <f>G55*(1+'Tenure Split (Mid and SW Wales)'!G$109)+(G$44*(-(50-$B55)*('Tenure Split (Mid and SW Wales)'!G$110/40)))</f>
        <v>36991.698358758607</v>
      </c>
      <c r="L55" s="64" t="str">
        <f t="shared" si="0"/>
        <v/>
      </c>
      <c r="M55" s="251"/>
      <c r="N55" s="14">
        <f t="shared" si="3"/>
        <v>1</v>
      </c>
      <c r="T55" s="1">
        <f t="shared" si="1"/>
        <v>61</v>
      </c>
      <c r="U55" s="4" t="str">
        <f t="shared" si="2"/>
        <v/>
      </c>
      <c r="V55" s="4" t="e">
        <f>IF($V$3=$M$3,M55,U55*(1+'Tenure Split (Mid and SW Wales)'!C$109)+(U$44*(-(50-$T55)*('Tenure Split (Mid and SW Wales)'!C$110/40))))</f>
        <v>#VALUE!</v>
      </c>
      <c r="W55" s="4" t="e">
        <f>V55*(1+'Tenure Split (Mid and SW Wales)'!D$109)+(V$44*(-(50-$T55)*('Tenure Split (Mid and SW Wales)'!D$110/40)))</f>
        <v>#VALUE!</v>
      </c>
      <c r="X55" s="4" t="e">
        <f>W55*(1+'Tenure Split (Mid and SW Wales)'!E$109)+(W$44*(-(50-$T55)*('Tenure Split (Mid and SW Wales)'!E$110/40)))</f>
        <v>#VALUE!</v>
      </c>
      <c r="Y55" s="4" t="e">
        <f>X55*(1+'Tenure Split (Mid and SW Wales)'!F$109)+(X$44*(-(50-$T55)*('Tenure Split (Mid and SW Wales)'!F$110/40)))</f>
        <v>#VALUE!</v>
      </c>
      <c r="Z55" s="4" t="e">
        <f>Y55*(1+'Tenure Split (Mid and SW Wales)'!G$109)+(Y$44*(-(50-$T55)*('Tenure Split (Mid and SW Wales)'!G$110/40)))</f>
        <v>#VALUE!</v>
      </c>
      <c r="AB55" s="1">
        <v>61</v>
      </c>
      <c r="AC55" s="4">
        <f>IF('Tenure Split (WALES)'!$D$8="WG Estimates",'Income (Mid and SW Wales)'!D55,'Income (Mid and SW Wales)'!V55)</f>
        <v>32157.770223458952</v>
      </c>
      <c r="AD55" s="4">
        <f>IF('Tenure Split (WALES)'!$D$8="WG Estimates",'Income (Mid and SW Wales)'!E55,'Income (Mid and SW Wales)'!W55)</f>
        <v>33056.393504771979</v>
      </c>
      <c r="AE55" s="4">
        <f>IF('Tenure Split (WALES)'!$D$8="WG Estimates",'Income (Mid and SW Wales)'!F55,'Income (Mid and SW Wales)'!X55)</f>
        <v>34214.397644516663</v>
      </c>
      <c r="AF55" s="4">
        <f>IF('Tenure Split (WALES)'!$D$8="WG Estimates",'Income (Mid and SW Wales)'!G55,'Income (Mid and SW Wales)'!Y55)</f>
        <v>35559.33873476139</v>
      </c>
      <c r="AG55" s="4">
        <f>IF('Tenure Split (WALES)'!$D$8="WG Estimates",'Income (Mid and SW Wales)'!H55,'Income (Mid and SW Wales)'!Z55)</f>
        <v>36991.698358758607</v>
      </c>
    </row>
    <row r="56" spans="2:33" x14ac:dyDescent="0.25">
      <c r="B56" s="20">
        <v>62</v>
      </c>
      <c r="C56" s="58">
        <v>31623</v>
      </c>
      <c r="D56" s="59">
        <f>C56*(1+'Tenure Split (Mid and SW Wales)'!C$109)+(C$44*(-(50-$B56)*('Tenure Split (Mid and SW Wales)'!C$110/40)))</f>
        <v>32817.398339295381</v>
      </c>
      <c r="E56" s="59">
        <f>D56*(1+'Tenure Split (Mid and SW Wales)'!D$109)+(D$44*(-(50-$B56)*('Tenure Split (Mid and SW Wales)'!D$110/40)))</f>
        <v>33739.509501652094</v>
      </c>
      <c r="F56" s="59">
        <f>E56*(1+'Tenure Split (Mid and SW Wales)'!E$109)+(E$44*(-(50-$B56)*('Tenure Split (Mid and SW Wales)'!E$110/40)))</f>
        <v>34926.617801677283</v>
      </c>
      <c r="G56" s="59">
        <f>F56*(1+'Tenure Split (Mid and SW Wales)'!F$109)+(F$44*(-(50-$B56)*('Tenure Split (Mid and SW Wales)'!F$110/40)))</f>
        <v>36304.88772763688</v>
      </c>
      <c r="H56" s="60">
        <f>G56*(1+'Tenure Split (Mid and SW Wales)'!G$109)+(G$44*(-(50-$B56)*('Tenure Split (Mid and SW Wales)'!G$110/40)))</f>
        <v>37772.796616526655</v>
      </c>
      <c r="L56" s="64" t="str">
        <f t="shared" si="0"/>
        <v/>
      </c>
      <c r="M56" s="251"/>
      <c r="N56" s="14">
        <f t="shared" si="3"/>
        <v>1</v>
      </c>
      <c r="T56" s="1">
        <f t="shared" si="1"/>
        <v>62</v>
      </c>
      <c r="U56" s="4" t="str">
        <f t="shared" si="2"/>
        <v/>
      </c>
      <c r="V56" s="4" t="e">
        <f>IF($V$3=$M$3,M56,U56*(1+'Tenure Split (Mid and SW Wales)'!C$109)+(U$44*(-(50-$T56)*('Tenure Split (Mid and SW Wales)'!C$110/40))))</f>
        <v>#VALUE!</v>
      </c>
      <c r="W56" s="4" t="e">
        <f>V56*(1+'Tenure Split (Mid and SW Wales)'!D$109)+(V$44*(-(50-$T56)*('Tenure Split (Mid and SW Wales)'!D$110/40)))</f>
        <v>#VALUE!</v>
      </c>
      <c r="X56" s="4" t="e">
        <f>W56*(1+'Tenure Split (Mid and SW Wales)'!E$109)+(W$44*(-(50-$T56)*('Tenure Split (Mid and SW Wales)'!E$110/40)))</f>
        <v>#VALUE!</v>
      </c>
      <c r="Y56" s="4" t="e">
        <f>X56*(1+'Tenure Split (Mid and SW Wales)'!F$109)+(X$44*(-(50-$T56)*('Tenure Split (Mid and SW Wales)'!F$110/40)))</f>
        <v>#VALUE!</v>
      </c>
      <c r="Z56" s="4" t="e">
        <f>Y56*(1+'Tenure Split (Mid and SW Wales)'!G$109)+(Y$44*(-(50-$T56)*('Tenure Split (Mid and SW Wales)'!G$110/40)))</f>
        <v>#VALUE!</v>
      </c>
      <c r="AB56" s="1">
        <v>62</v>
      </c>
      <c r="AC56" s="4">
        <f>IF('Tenure Split (WALES)'!$D$8="WG Estimates",'Income (Mid and SW Wales)'!D56,'Income (Mid and SW Wales)'!V56)</f>
        <v>32817.398339295381</v>
      </c>
      <c r="AD56" s="4">
        <f>IF('Tenure Split (WALES)'!$D$8="WG Estimates",'Income (Mid and SW Wales)'!E56,'Income (Mid and SW Wales)'!W56)</f>
        <v>33739.509501652094</v>
      </c>
      <c r="AE56" s="4">
        <f>IF('Tenure Split (WALES)'!$D$8="WG Estimates",'Income (Mid and SW Wales)'!F56,'Income (Mid and SW Wales)'!X56)</f>
        <v>34926.617801677283</v>
      </c>
      <c r="AF56" s="4">
        <f>IF('Tenure Split (WALES)'!$D$8="WG Estimates",'Income (Mid and SW Wales)'!G56,'Income (Mid and SW Wales)'!Y56)</f>
        <v>36304.88772763688</v>
      </c>
      <c r="AG56" s="4">
        <f>IF('Tenure Split (WALES)'!$D$8="WG Estimates",'Income (Mid and SW Wales)'!H56,'Income (Mid and SW Wales)'!Z56)</f>
        <v>37772.796616526655</v>
      </c>
    </row>
    <row r="57" spans="2:33" x14ac:dyDescent="0.25">
      <c r="B57" s="20">
        <v>63</v>
      </c>
      <c r="C57" s="58">
        <v>32052.5</v>
      </c>
      <c r="D57" s="59">
        <f>C57*(1+'Tenure Split (Mid and SW Wales)'!C$109)+(C$44*(-(50-$B57)*('Tenure Split (Mid and SW Wales)'!C$110/40)))</f>
        <v>33268.397916556467</v>
      </c>
      <c r="E57" s="59">
        <f>D57*(1+'Tenure Split (Mid and SW Wales)'!D$109)+(D$44*(-(50-$B57)*('Tenure Split (Mid and SW Wales)'!D$110/40)))</f>
        <v>34208.632871027032</v>
      </c>
      <c r="F57" s="59">
        <f>E57*(1+'Tenure Split (Mid and SW Wales)'!E$109)+(E$44*(-(50-$B57)*('Tenure Split (Mid and SW Wales)'!E$110/40)))</f>
        <v>35417.825728700947</v>
      </c>
      <c r="G57" s="59">
        <f>F57*(1+'Tenure Split (Mid and SW Wales)'!F$109)+(F$44*(-(50-$B57)*('Tenure Split (Mid and SW Wales)'!F$110/40)))</f>
        <v>36821.228063394316</v>
      </c>
      <c r="H57" s="60">
        <f>G57*(1+'Tenure Split (Mid and SW Wales)'!G$109)+(G$44*(-(50-$B57)*('Tenure Split (Mid and SW Wales)'!G$110/40)))</f>
        <v>38315.962026140885</v>
      </c>
      <c r="L57" s="64" t="str">
        <f t="shared" si="0"/>
        <v/>
      </c>
      <c r="M57" s="251"/>
      <c r="N57" s="14">
        <f t="shared" si="3"/>
        <v>1</v>
      </c>
      <c r="T57" s="1">
        <f t="shared" si="1"/>
        <v>63</v>
      </c>
      <c r="U57" s="4" t="str">
        <f t="shared" si="2"/>
        <v/>
      </c>
      <c r="V57" s="4" t="e">
        <f>IF($V$3=$M$3,M57,U57*(1+'Tenure Split (Mid and SW Wales)'!C$109)+(U$44*(-(50-$T57)*('Tenure Split (Mid and SW Wales)'!C$110/40))))</f>
        <v>#VALUE!</v>
      </c>
      <c r="W57" s="4" t="e">
        <f>V57*(1+'Tenure Split (Mid and SW Wales)'!D$109)+(V$44*(-(50-$T57)*('Tenure Split (Mid and SW Wales)'!D$110/40)))</f>
        <v>#VALUE!</v>
      </c>
      <c r="X57" s="4" t="e">
        <f>W57*(1+'Tenure Split (Mid and SW Wales)'!E$109)+(W$44*(-(50-$T57)*('Tenure Split (Mid and SW Wales)'!E$110/40)))</f>
        <v>#VALUE!</v>
      </c>
      <c r="Y57" s="4" t="e">
        <f>X57*(1+'Tenure Split (Mid and SW Wales)'!F$109)+(X$44*(-(50-$T57)*('Tenure Split (Mid and SW Wales)'!F$110/40)))</f>
        <v>#VALUE!</v>
      </c>
      <c r="Z57" s="4" t="e">
        <f>Y57*(1+'Tenure Split (Mid and SW Wales)'!G$109)+(Y$44*(-(50-$T57)*('Tenure Split (Mid and SW Wales)'!G$110/40)))</f>
        <v>#VALUE!</v>
      </c>
      <c r="AB57" s="1">
        <v>63</v>
      </c>
      <c r="AC57" s="4">
        <f>IF('Tenure Split (WALES)'!$D$8="WG Estimates",'Income (Mid and SW Wales)'!D57,'Income (Mid and SW Wales)'!V57)</f>
        <v>33268.397916556467</v>
      </c>
      <c r="AD57" s="4">
        <f>IF('Tenure Split (WALES)'!$D$8="WG Estimates",'Income (Mid and SW Wales)'!E57,'Income (Mid and SW Wales)'!W57)</f>
        <v>34208.632871027032</v>
      </c>
      <c r="AE57" s="4">
        <f>IF('Tenure Split (WALES)'!$D$8="WG Estimates",'Income (Mid and SW Wales)'!F57,'Income (Mid and SW Wales)'!X57)</f>
        <v>35417.825728700947</v>
      </c>
      <c r="AF57" s="4">
        <f>IF('Tenure Split (WALES)'!$D$8="WG Estimates",'Income (Mid and SW Wales)'!G57,'Income (Mid and SW Wales)'!Y57)</f>
        <v>36821.228063394316</v>
      </c>
      <c r="AG57" s="4">
        <f>IF('Tenure Split (WALES)'!$D$8="WG Estimates",'Income (Mid and SW Wales)'!H57,'Income (Mid and SW Wales)'!Z57)</f>
        <v>38315.962026140885</v>
      </c>
    </row>
    <row r="58" spans="2:33" x14ac:dyDescent="0.25">
      <c r="B58" s="20">
        <v>64</v>
      </c>
      <c r="C58" s="58">
        <v>32716.15</v>
      </c>
      <c r="D58" s="59">
        <f>C58*(1+'Tenure Split (Mid and SW Wales)'!C$109)+(C$44*(-(50-$B58)*('Tenure Split (Mid and SW Wales)'!C$110/40)))</f>
        <v>33961.831103283635</v>
      </c>
      <c r="E58" s="59">
        <f>D58*(1+'Tenure Split (Mid and SW Wales)'!D$109)+(D$44*(-(50-$B58)*('Tenure Split (Mid and SW Wales)'!D$110/40)))</f>
        <v>34926.423107550028</v>
      </c>
      <c r="F58" s="59">
        <f>E58*(1+'Tenure Split (Mid and SW Wales)'!E$109)+(E$44*(-(50-$B58)*('Tenure Split (Mid and SW Wales)'!E$110/40)))</f>
        <v>36165.857544987972</v>
      </c>
      <c r="G58" s="59">
        <f>F58*(1+'Tenure Split (Mid and SW Wales)'!F$109)+(F$44*(-(50-$B58)*('Tenure Split (Mid and SW Wales)'!F$110/40)))</f>
        <v>37603.91682130655</v>
      </c>
      <c r="H58" s="60">
        <f>G58*(1+'Tenure Split (Mid and SW Wales)'!G$109)+(G$44*(-(50-$B58)*('Tenure Split (Mid and SW Wales)'!G$110/40)))</f>
        <v>39135.613670967105</v>
      </c>
      <c r="L58" s="64" t="str">
        <f t="shared" si="0"/>
        <v/>
      </c>
      <c r="M58" s="251"/>
      <c r="N58" s="14">
        <f t="shared" si="3"/>
        <v>1</v>
      </c>
      <c r="T58" s="1">
        <f t="shared" si="1"/>
        <v>64</v>
      </c>
      <c r="U58" s="4" t="str">
        <f t="shared" si="2"/>
        <v/>
      </c>
      <c r="V58" s="4" t="e">
        <f>IF($V$3=$M$3,M58,U58*(1+'Tenure Split (Mid and SW Wales)'!C$109)+(U$44*(-(50-$T58)*('Tenure Split (Mid and SW Wales)'!C$110/40))))</f>
        <v>#VALUE!</v>
      </c>
      <c r="W58" s="4" t="e">
        <f>V58*(1+'Tenure Split (Mid and SW Wales)'!D$109)+(V$44*(-(50-$T58)*('Tenure Split (Mid and SW Wales)'!D$110/40)))</f>
        <v>#VALUE!</v>
      </c>
      <c r="X58" s="4" t="e">
        <f>W58*(1+'Tenure Split (Mid and SW Wales)'!E$109)+(W$44*(-(50-$T58)*('Tenure Split (Mid and SW Wales)'!E$110/40)))</f>
        <v>#VALUE!</v>
      </c>
      <c r="Y58" s="4" t="e">
        <f>X58*(1+'Tenure Split (Mid and SW Wales)'!F$109)+(X$44*(-(50-$T58)*('Tenure Split (Mid and SW Wales)'!F$110/40)))</f>
        <v>#VALUE!</v>
      </c>
      <c r="Z58" s="4" t="e">
        <f>Y58*(1+'Tenure Split (Mid and SW Wales)'!G$109)+(Y$44*(-(50-$T58)*('Tenure Split (Mid and SW Wales)'!G$110/40)))</f>
        <v>#VALUE!</v>
      </c>
      <c r="AB58" s="1">
        <v>64</v>
      </c>
      <c r="AC58" s="4">
        <f>IF('Tenure Split (WALES)'!$D$8="WG Estimates",'Income (Mid and SW Wales)'!D58,'Income (Mid and SW Wales)'!V58)</f>
        <v>33961.831103283635</v>
      </c>
      <c r="AD58" s="4">
        <f>IF('Tenure Split (WALES)'!$D$8="WG Estimates",'Income (Mid and SW Wales)'!E58,'Income (Mid and SW Wales)'!W58)</f>
        <v>34926.423107550028</v>
      </c>
      <c r="AE58" s="4">
        <f>IF('Tenure Split (WALES)'!$D$8="WG Estimates",'Income (Mid and SW Wales)'!F58,'Income (Mid and SW Wales)'!X58)</f>
        <v>36165.857544987972</v>
      </c>
      <c r="AF58" s="4">
        <f>IF('Tenure Split (WALES)'!$D$8="WG Estimates",'Income (Mid and SW Wales)'!G58,'Income (Mid and SW Wales)'!Y58)</f>
        <v>37603.91682130655</v>
      </c>
      <c r="AG58" s="4">
        <f>IF('Tenure Split (WALES)'!$D$8="WG Estimates",'Income (Mid and SW Wales)'!H58,'Income (Mid and SW Wales)'!Z58)</f>
        <v>39135.613670967105</v>
      </c>
    </row>
    <row r="59" spans="2:33" x14ac:dyDescent="0.25">
      <c r="B59" s="20">
        <v>65</v>
      </c>
      <c r="C59" s="58">
        <v>33315</v>
      </c>
      <c r="D59" s="59">
        <f>C59*(1+'Tenure Split (Mid and SW Wales)'!C$109)+(C$44*(-(50-$B59)*('Tenure Split (Mid and SW Wales)'!C$110/40)))</f>
        <v>34588.171836910653</v>
      </c>
      <c r="E59" s="59">
        <f>D59*(1+'Tenure Split (Mid and SW Wales)'!D$109)+(D$44*(-(50-$B59)*('Tenure Split (Mid and SW Wales)'!D$110/40)))</f>
        <v>35575.395863862948</v>
      </c>
      <c r="F59" s="59">
        <f>E59*(1+'Tenure Split (Mid and SW Wales)'!E$109)+(E$44*(-(50-$B59)*('Tenure Split (Mid and SW Wales)'!E$110/40)))</f>
        <v>36842.814460466703</v>
      </c>
      <c r="G59" s="59">
        <f>F59*(1+'Tenure Split (Mid and SW Wales)'!F$109)+(F$44*(-(50-$B59)*('Tenure Split (Mid and SW Wales)'!F$110/40)))</f>
        <v>38312.894805118303</v>
      </c>
      <c r="H59" s="60">
        <f>G59*(1+'Tenure Split (Mid and SW Wales)'!G$109)+(G$44*(-(50-$B59)*('Tenure Split (Mid and SW Wales)'!G$110/40)))</f>
        <v>39878.748945766696</v>
      </c>
      <c r="L59" s="64" t="str">
        <f t="shared" si="0"/>
        <v/>
      </c>
      <c r="M59" s="251"/>
      <c r="N59" s="14">
        <f t="shared" si="3"/>
        <v>1</v>
      </c>
      <c r="T59" s="1">
        <f t="shared" si="1"/>
        <v>65</v>
      </c>
      <c r="U59" s="4" t="str">
        <f t="shared" si="2"/>
        <v/>
      </c>
      <c r="V59" s="4" t="e">
        <f>IF($V$3=$M$3,M59,U59*(1+'Tenure Split (Mid and SW Wales)'!C$109)+(U$44*(-(50-$T59)*('Tenure Split (Mid and SW Wales)'!C$110/40))))</f>
        <v>#VALUE!</v>
      </c>
      <c r="W59" s="4" t="e">
        <f>V59*(1+'Tenure Split (Mid and SW Wales)'!D$109)+(V$44*(-(50-$T59)*('Tenure Split (Mid and SW Wales)'!D$110/40)))</f>
        <v>#VALUE!</v>
      </c>
      <c r="X59" s="4" t="e">
        <f>W59*(1+'Tenure Split (Mid and SW Wales)'!E$109)+(W$44*(-(50-$T59)*('Tenure Split (Mid and SW Wales)'!E$110/40)))</f>
        <v>#VALUE!</v>
      </c>
      <c r="Y59" s="4" t="e">
        <f>X59*(1+'Tenure Split (Mid and SW Wales)'!F$109)+(X$44*(-(50-$T59)*('Tenure Split (Mid and SW Wales)'!F$110/40)))</f>
        <v>#VALUE!</v>
      </c>
      <c r="Z59" s="4" t="e">
        <f>Y59*(1+'Tenure Split (Mid and SW Wales)'!G$109)+(Y$44*(-(50-$T59)*('Tenure Split (Mid and SW Wales)'!G$110/40)))</f>
        <v>#VALUE!</v>
      </c>
      <c r="AB59" s="1">
        <v>65</v>
      </c>
      <c r="AC59" s="4">
        <f>IF('Tenure Split (WALES)'!$D$8="WG Estimates",'Income (Mid and SW Wales)'!D59,'Income (Mid and SW Wales)'!V59)</f>
        <v>34588.171836910653</v>
      </c>
      <c r="AD59" s="4">
        <f>IF('Tenure Split (WALES)'!$D$8="WG Estimates",'Income (Mid and SW Wales)'!E59,'Income (Mid and SW Wales)'!W59)</f>
        <v>35575.395863862948</v>
      </c>
      <c r="AE59" s="4">
        <f>IF('Tenure Split (WALES)'!$D$8="WG Estimates",'Income (Mid and SW Wales)'!F59,'Income (Mid and SW Wales)'!X59)</f>
        <v>36842.814460466703</v>
      </c>
      <c r="AF59" s="4">
        <f>IF('Tenure Split (WALES)'!$D$8="WG Estimates",'Income (Mid and SW Wales)'!G59,'Income (Mid and SW Wales)'!Y59)</f>
        <v>38312.894805118303</v>
      </c>
      <c r="AG59" s="4">
        <f>IF('Tenure Split (WALES)'!$D$8="WG Estimates",'Income (Mid and SW Wales)'!H59,'Income (Mid and SW Wales)'!Z59)</f>
        <v>39878.748945766696</v>
      </c>
    </row>
    <row r="60" spans="2:33" x14ac:dyDescent="0.25">
      <c r="B60" s="20">
        <v>66</v>
      </c>
      <c r="C60" s="58">
        <v>34002.5</v>
      </c>
      <c r="D60" s="59">
        <f>C60*(1+'Tenure Split (Mid and SW Wales)'!C$109)+(C$44*(-(50-$B60)*('Tenure Split (Mid and SW Wales)'!C$110/40)))</f>
        <v>35306.298773737188</v>
      </c>
      <c r="E60" s="59">
        <f>D60*(1+'Tenure Split (Mid and SW Wales)'!D$109)+(D$44*(-(50-$B60)*('Tenure Split (Mid and SW Wales)'!D$110/40)))</f>
        <v>36318.514756296609</v>
      </c>
      <c r="F60" s="59">
        <f>E60*(1+'Tenure Split (Mid and SW Wales)'!E$109)+(E$44*(-(50-$B60)*('Tenure Split (Mid and SW Wales)'!E$110/40)))</f>
        <v>37617.005788856775</v>
      </c>
      <c r="G60" s="59">
        <f>F60*(1+'Tenure Split (Mid and SW Wales)'!F$109)+(F$44*(-(50-$B60)*('Tenure Split (Mid and SW Wales)'!F$110/40)))</f>
        <v>39122.713222942511</v>
      </c>
      <c r="H60" s="60">
        <f>G60*(1+'Tenure Split (Mid and SW Wales)'!G$109)+(G$44*(-(50-$B60)*('Tenure Split (Mid and SW Wales)'!G$110/40)))</f>
        <v>40726.562865672146</v>
      </c>
      <c r="L60" s="64" t="str">
        <f t="shared" si="0"/>
        <v/>
      </c>
      <c r="M60" s="251"/>
      <c r="N60" s="14">
        <f t="shared" si="3"/>
        <v>1</v>
      </c>
      <c r="T60" s="1">
        <f t="shared" si="1"/>
        <v>66</v>
      </c>
      <c r="U60" s="4" t="str">
        <f t="shared" si="2"/>
        <v/>
      </c>
      <c r="V60" s="4" t="e">
        <f>IF($V$3=$M$3,M60,U60*(1+'Tenure Split (Mid and SW Wales)'!C$109)+(U$44*(-(50-$T60)*('Tenure Split (Mid and SW Wales)'!C$110/40))))</f>
        <v>#VALUE!</v>
      </c>
      <c r="W60" s="4" t="e">
        <f>V60*(1+'Tenure Split (Mid and SW Wales)'!D$109)+(V$44*(-(50-$T60)*('Tenure Split (Mid and SW Wales)'!D$110/40)))</f>
        <v>#VALUE!</v>
      </c>
      <c r="X60" s="4" t="e">
        <f>W60*(1+'Tenure Split (Mid and SW Wales)'!E$109)+(W$44*(-(50-$T60)*('Tenure Split (Mid and SW Wales)'!E$110/40)))</f>
        <v>#VALUE!</v>
      </c>
      <c r="Y60" s="4" t="e">
        <f>X60*(1+'Tenure Split (Mid and SW Wales)'!F$109)+(X$44*(-(50-$T60)*('Tenure Split (Mid and SW Wales)'!F$110/40)))</f>
        <v>#VALUE!</v>
      </c>
      <c r="Z60" s="4" t="e">
        <f>Y60*(1+'Tenure Split (Mid and SW Wales)'!G$109)+(Y$44*(-(50-$T60)*('Tenure Split (Mid and SW Wales)'!G$110/40)))</f>
        <v>#VALUE!</v>
      </c>
      <c r="AB60" s="1">
        <v>66</v>
      </c>
      <c r="AC60" s="4">
        <f>IF('Tenure Split (WALES)'!$D$8="WG Estimates",'Income (Mid and SW Wales)'!D60,'Income (Mid and SW Wales)'!V60)</f>
        <v>35306.298773737188</v>
      </c>
      <c r="AD60" s="4">
        <f>IF('Tenure Split (WALES)'!$D$8="WG Estimates",'Income (Mid and SW Wales)'!E60,'Income (Mid and SW Wales)'!W60)</f>
        <v>36318.514756296609</v>
      </c>
      <c r="AE60" s="4">
        <f>IF('Tenure Split (WALES)'!$D$8="WG Estimates",'Income (Mid and SW Wales)'!F60,'Income (Mid and SW Wales)'!X60)</f>
        <v>37617.005788856775</v>
      </c>
      <c r="AF60" s="4">
        <f>IF('Tenure Split (WALES)'!$D$8="WG Estimates",'Income (Mid and SW Wales)'!G60,'Income (Mid and SW Wales)'!Y60)</f>
        <v>39122.713222942511</v>
      </c>
      <c r="AG60" s="4">
        <f>IF('Tenure Split (WALES)'!$D$8="WG Estimates",'Income (Mid and SW Wales)'!H60,'Income (Mid and SW Wales)'!Z60)</f>
        <v>40726.562865672146</v>
      </c>
    </row>
    <row r="61" spans="2:33" x14ac:dyDescent="0.25">
      <c r="B61" s="20">
        <v>67</v>
      </c>
      <c r="C61" s="58">
        <v>34724</v>
      </c>
      <c r="D61" s="59">
        <f>C61*(1+'Tenure Split (Mid and SW Wales)'!C$109)+(C$44*(-(50-$B61)*('Tenure Split (Mid and SW Wales)'!C$110/40)))</f>
        <v>36059.628540894053</v>
      </c>
      <c r="E61" s="59">
        <f>D61*(1+'Tenure Split (Mid and SW Wales)'!D$109)+(D$44*(-(50-$B61)*('Tenure Split (Mid and SW Wales)'!D$110/40)))</f>
        <v>37097.741585877557</v>
      </c>
      <c r="F61" s="59">
        <f>E61*(1+'Tenure Split (Mid and SW Wales)'!E$109)+(E$44*(-(50-$B61)*('Tenure Split (Mid and SW Wales)'!E$110/40)))</f>
        <v>38428.489503473444</v>
      </c>
      <c r="G61" s="59">
        <f>F61*(1+'Tenure Split (Mid and SW Wales)'!F$109)+(F$44*(-(50-$B61)*('Tenure Split (Mid and SW Wales)'!F$110/40)))</f>
        <v>39971.207046930576</v>
      </c>
      <c r="H61" s="60">
        <f>G61*(1+'Tenure Split (Mid and SW Wales)'!G$109)+(G$44*(-(50-$B61)*('Tenure Split (Mid and SW Wales)'!G$110/40)))</f>
        <v>41614.524263678009</v>
      </c>
      <c r="L61" s="64" t="str">
        <f t="shared" si="0"/>
        <v/>
      </c>
      <c r="M61" s="251"/>
      <c r="N61" s="14">
        <f t="shared" si="3"/>
        <v>1</v>
      </c>
      <c r="T61" s="1">
        <f t="shared" si="1"/>
        <v>67</v>
      </c>
      <c r="U61" s="4" t="str">
        <f t="shared" si="2"/>
        <v/>
      </c>
      <c r="V61" s="4" t="e">
        <f>IF($V$3=$M$3,M61,U61*(1+'Tenure Split (Mid and SW Wales)'!C$109)+(U$44*(-(50-$T61)*('Tenure Split (Mid and SW Wales)'!C$110/40))))</f>
        <v>#VALUE!</v>
      </c>
      <c r="W61" s="4" t="e">
        <f>V61*(1+'Tenure Split (Mid and SW Wales)'!D$109)+(V$44*(-(50-$T61)*('Tenure Split (Mid and SW Wales)'!D$110/40)))</f>
        <v>#VALUE!</v>
      </c>
      <c r="X61" s="4" t="e">
        <f>W61*(1+'Tenure Split (Mid and SW Wales)'!E$109)+(W$44*(-(50-$T61)*('Tenure Split (Mid and SW Wales)'!E$110/40)))</f>
        <v>#VALUE!</v>
      </c>
      <c r="Y61" s="4" t="e">
        <f>X61*(1+'Tenure Split (Mid and SW Wales)'!F$109)+(X$44*(-(50-$T61)*('Tenure Split (Mid and SW Wales)'!F$110/40)))</f>
        <v>#VALUE!</v>
      </c>
      <c r="Z61" s="4" t="e">
        <f>Y61*(1+'Tenure Split (Mid and SW Wales)'!G$109)+(Y$44*(-(50-$T61)*('Tenure Split (Mid and SW Wales)'!G$110/40)))</f>
        <v>#VALUE!</v>
      </c>
      <c r="AB61" s="1">
        <v>67</v>
      </c>
      <c r="AC61" s="4">
        <f>IF('Tenure Split (WALES)'!$D$8="WG Estimates",'Income (Mid and SW Wales)'!D61,'Income (Mid and SW Wales)'!V61)</f>
        <v>36059.628540894053</v>
      </c>
      <c r="AD61" s="4">
        <f>IF('Tenure Split (WALES)'!$D$8="WG Estimates",'Income (Mid and SW Wales)'!E61,'Income (Mid and SW Wales)'!W61)</f>
        <v>37097.741585877557</v>
      </c>
      <c r="AE61" s="4">
        <f>IF('Tenure Split (WALES)'!$D$8="WG Estimates",'Income (Mid and SW Wales)'!F61,'Income (Mid and SW Wales)'!X61)</f>
        <v>38428.489503473444</v>
      </c>
      <c r="AF61" s="4">
        <f>IF('Tenure Split (WALES)'!$D$8="WG Estimates",'Income (Mid and SW Wales)'!G61,'Income (Mid and SW Wales)'!Y61)</f>
        <v>39971.207046930576</v>
      </c>
      <c r="AG61" s="4">
        <f>IF('Tenure Split (WALES)'!$D$8="WG Estimates",'Income (Mid and SW Wales)'!H61,'Income (Mid and SW Wales)'!Z61)</f>
        <v>41614.524263678009</v>
      </c>
    </row>
    <row r="62" spans="2:33" x14ac:dyDescent="0.25">
      <c r="B62" s="20">
        <v>68</v>
      </c>
      <c r="C62" s="58">
        <v>35445.75</v>
      </c>
      <c r="D62" s="59">
        <f>C62*(1+'Tenure Split (Mid and SW Wales)'!C$109)+(C$44*(-(50-$B62)*('Tenure Split (Mid and SW Wales)'!C$110/40)))</f>
        <v>36813.217152391589</v>
      </c>
      <c r="E62" s="59">
        <f>D62*(1+'Tenure Split (Mid and SW Wales)'!D$109)+(D$44*(-(50-$B62)*('Tenure Split (Mid and SW Wales)'!D$110/40)))</f>
        <v>37877.233914996345</v>
      </c>
      <c r="F62" s="59">
        <f>E62*(1+'Tenure Split (Mid and SW Wales)'!E$109)+(E$44*(-(50-$B62)*('Tenure Split (Mid and SW Wales)'!E$110/40)))</f>
        <v>39240.247426812362</v>
      </c>
      <c r="G62" s="59">
        <f>F62*(1+'Tenure Split (Mid and SW Wales)'!F$109)+(F$44*(-(50-$B62)*('Tenure Split (Mid and SW Wales)'!F$110/40)))</f>
        <v>40819.985248905126</v>
      </c>
      <c r="H62" s="60">
        <f>G62*(1+'Tenure Split (Mid and SW Wales)'!G$109)+(G$44*(-(50-$B62)*('Tenure Split (Mid and SW Wales)'!G$110/40)))</f>
        <v>42502.780863728716</v>
      </c>
      <c r="L62" s="64" t="str">
        <f t="shared" si="0"/>
        <v/>
      </c>
      <c r="M62" s="251"/>
      <c r="N62" s="14">
        <f t="shared" si="3"/>
        <v>1</v>
      </c>
      <c r="T62" s="1">
        <f t="shared" si="1"/>
        <v>68</v>
      </c>
      <c r="U62" s="4" t="str">
        <f t="shared" si="2"/>
        <v/>
      </c>
      <c r="V62" s="4" t="e">
        <f>IF($V$3=$M$3,M62,U62*(1+'Tenure Split (Mid and SW Wales)'!C$109)+(U$44*(-(50-$T62)*('Tenure Split (Mid and SW Wales)'!C$110/40))))</f>
        <v>#VALUE!</v>
      </c>
      <c r="W62" s="4" t="e">
        <f>V62*(1+'Tenure Split (Mid and SW Wales)'!D$109)+(V$44*(-(50-$T62)*('Tenure Split (Mid and SW Wales)'!D$110/40)))</f>
        <v>#VALUE!</v>
      </c>
      <c r="X62" s="4" t="e">
        <f>W62*(1+'Tenure Split (Mid and SW Wales)'!E$109)+(W$44*(-(50-$T62)*('Tenure Split (Mid and SW Wales)'!E$110/40)))</f>
        <v>#VALUE!</v>
      </c>
      <c r="Y62" s="4" t="e">
        <f>X62*(1+'Tenure Split (Mid and SW Wales)'!F$109)+(X$44*(-(50-$T62)*('Tenure Split (Mid and SW Wales)'!F$110/40)))</f>
        <v>#VALUE!</v>
      </c>
      <c r="Z62" s="4" t="e">
        <f>Y62*(1+'Tenure Split (Mid and SW Wales)'!G$109)+(Y$44*(-(50-$T62)*('Tenure Split (Mid and SW Wales)'!G$110/40)))</f>
        <v>#VALUE!</v>
      </c>
      <c r="AB62" s="1">
        <v>68</v>
      </c>
      <c r="AC62" s="4">
        <f>IF('Tenure Split (WALES)'!$D$8="WG Estimates",'Income (Mid and SW Wales)'!D62,'Income (Mid and SW Wales)'!V62)</f>
        <v>36813.217152391589</v>
      </c>
      <c r="AD62" s="4">
        <f>IF('Tenure Split (WALES)'!$D$8="WG Estimates",'Income (Mid and SW Wales)'!E62,'Income (Mid and SW Wales)'!W62)</f>
        <v>37877.233914996345</v>
      </c>
      <c r="AE62" s="4">
        <f>IF('Tenure Split (WALES)'!$D$8="WG Estimates",'Income (Mid and SW Wales)'!F62,'Income (Mid and SW Wales)'!X62)</f>
        <v>39240.247426812362</v>
      </c>
      <c r="AF62" s="4">
        <f>IF('Tenure Split (WALES)'!$D$8="WG Estimates",'Income (Mid and SW Wales)'!G62,'Income (Mid and SW Wales)'!Y62)</f>
        <v>40819.985248905126</v>
      </c>
      <c r="AG62" s="4">
        <f>IF('Tenure Split (WALES)'!$D$8="WG Estimates",'Income (Mid and SW Wales)'!H62,'Income (Mid and SW Wales)'!Z62)</f>
        <v>42502.780863728716</v>
      </c>
    </row>
    <row r="63" spans="2:33" x14ac:dyDescent="0.25">
      <c r="B63" s="20">
        <v>69</v>
      </c>
      <c r="C63" s="58">
        <v>36215</v>
      </c>
      <c r="D63" s="59">
        <f>C63*(1+'Tenure Split (Mid and SW Wales)'!C$109)+(C$44*(-(50-$B63)*('Tenure Split (Mid and SW Wales)'!C$110/40)))</f>
        <v>37615.986188615316</v>
      </c>
      <c r="E63" s="59">
        <f>D63*(1+'Tenure Split (Mid and SW Wales)'!D$109)+(D$44*(-(50-$B63)*('Tenure Split (Mid and SW Wales)'!D$110/40)))</f>
        <v>38707.171156306176</v>
      </c>
      <c r="F63" s="59">
        <f>E63*(1+'Tenure Split (Mid and SW Wales)'!E$109)+(E$44*(-(50-$B63)*('Tenure Split (Mid and SW Wales)'!E$110/40)))</f>
        <v>40104.105007379585</v>
      </c>
      <c r="G63" s="59">
        <f>F63*(1+'Tenure Split (Mid and SW Wales)'!F$109)+(F$44*(-(50-$B63)*('Tenure Split (Mid and SW Wales)'!F$110/40)))</f>
        <v>41722.795268314447</v>
      </c>
      <c r="H63" s="60">
        <f>G63*(1+'Tenure Split (Mid and SW Wales)'!G$109)+(G$44*(-(50-$B63)*('Tenure Split (Mid and SW Wales)'!G$110/40)))</f>
        <v>43447.12585230203</v>
      </c>
      <c r="L63" s="64" t="str">
        <f t="shared" si="0"/>
        <v/>
      </c>
      <c r="M63" s="251"/>
      <c r="N63" s="14">
        <f t="shared" si="3"/>
        <v>1</v>
      </c>
      <c r="T63" s="1">
        <f t="shared" si="1"/>
        <v>69</v>
      </c>
      <c r="U63" s="4" t="str">
        <f t="shared" si="2"/>
        <v/>
      </c>
      <c r="V63" s="4" t="e">
        <f>IF($V$3=$M$3,M63,U63*(1+'Tenure Split (Mid and SW Wales)'!C$109)+(U$44*(-(50-$T63)*('Tenure Split (Mid and SW Wales)'!C$110/40))))</f>
        <v>#VALUE!</v>
      </c>
      <c r="W63" s="4" t="e">
        <f>V63*(1+'Tenure Split (Mid and SW Wales)'!D$109)+(V$44*(-(50-$T63)*('Tenure Split (Mid and SW Wales)'!D$110/40)))</f>
        <v>#VALUE!</v>
      </c>
      <c r="X63" s="4" t="e">
        <f>W63*(1+'Tenure Split (Mid and SW Wales)'!E$109)+(W$44*(-(50-$T63)*('Tenure Split (Mid and SW Wales)'!E$110/40)))</f>
        <v>#VALUE!</v>
      </c>
      <c r="Y63" s="4" t="e">
        <f>X63*(1+'Tenure Split (Mid and SW Wales)'!F$109)+(X$44*(-(50-$T63)*('Tenure Split (Mid and SW Wales)'!F$110/40)))</f>
        <v>#VALUE!</v>
      </c>
      <c r="Z63" s="4" t="e">
        <f>Y63*(1+'Tenure Split (Mid and SW Wales)'!G$109)+(Y$44*(-(50-$T63)*('Tenure Split (Mid and SW Wales)'!G$110/40)))</f>
        <v>#VALUE!</v>
      </c>
      <c r="AB63" s="1">
        <v>69</v>
      </c>
      <c r="AC63" s="4">
        <f>IF('Tenure Split (WALES)'!$D$8="WG Estimates",'Income (Mid and SW Wales)'!D63,'Income (Mid and SW Wales)'!V63)</f>
        <v>37615.986188615316</v>
      </c>
      <c r="AD63" s="4">
        <f>IF('Tenure Split (WALES)'!$D$8="WG Estimates",'Income (Mid and SW Wales)'!E63,'Income (Mid and SW Wales)'!W63)</f>
        <v>38707.171156306176</v>
      </c>
      <c r="AE63" s="4">
        <f>IF('Tenure Split (WALES)'!$D$8="WG Estimates",'Income (Mid and SW Wales)'!F63,'Income (Mid and SW Wales)'!X63)</f>
        <v>40104.105007379585</v>
      </c>
      <c r="AF63" s="4">
        <f>IF('Tenure Split (WALES)'!$D$8="WG Estimates",'Income (Mid and SW Wales)'!G63,'Income (Mid and SW Wales)'!Y63)</f>
        <v>41722.795268314447</v>
      </c>
      <c r="AG63" s="4">
        <f>IF('Tenure Split (WALES)'!$D$8="WG Estimates",'Income (Mid and SW Wales)'!H63,'Income (Mid and SW Wales)'!Z63)</f>
        <v>43447.12585230203</v>
      </c>
    </row>
    <row r="64" spans="2:33" x14ac:dyDescent="0.25">
      <c r="B64" s="20">
        <v>70</v>
      </c>
      <c r="C64" s="58">
        <v>36738.9</v>
      </c>
      <c r="D64" s="59">
        <f>C64*(1+'Tenure Split (Mid and SW Wales)'!C$109)+(C$44*(-(50-$B64)*('Tenure Split (Mid and SW Wales)'!C$110/40)))</f>
        <v>38164.725388911203</v>
      </c>
      <c r="E64" s="59">
        <f>D64*(1+'Tenure Split (Mid and SW Wales)'!D$109)+(D$44*(-(50-$B64)*('Tenure Split (Mid and SW Wales)'!D$110/40)))</f>
        <v>39276.547151172374</v>
      </c>
      <c r="F64" s="59">
        <f>E64*(1+'Tenure Split (Mid and SW Wales)'!E$109)+(E$44*(-(50-$B64)*('Tenure Split (Mid and SW Wales)'!E$110/40)))</f>
        <v>40698.854147926475</v>
      </c>
      <c r="G64" s="59">
        <f>F64*(1+'Tenure Split (Mid and SW Wales)'!F$109)+(F$44*(-(50-$B64)*('Tenure Split (Mid and SW Wales)'!F$110/40)))</f>
        <v>42346.516731773852</v>
      </c>
      <c r="H64" s="60">
        <f>G64*(1+'Tenure Split (Mid and SW Wales)'!G$109)+(G$44*(-(50-$B64)*('Tenure Split (Mid and SW Wales)'!G$110/40)))</f>
        <v>44101.759554053839</v>
      </c>
      <c r="L64" s="64" t="str">
        <f t="shared" si="0"/>
        <v/>
      </c>
      <c r="M64" s="251"/>
      <c r="N64" s="14">
        <f t="shared" si="3"/>
        <v>1</v>
      </c>
      <c r="T64" s="1">
        <f t="shared" si="1"/>
        <v>70</v>
      </c>
      <c r="U64" s="4" t="str">
        <f t="shared" si="2"/>
        <v/>
      </c>
      <c r="V64" s="4" t="e">
        <f>IF($V$3=$M$3,M64,U64*(1+'Tenure Split (Mid and SW Wales)'!C$109)+(U$44*(-(50-$T64)*('Tenure Split (Mid and SW Wales)'!C$110/40))))</f>
        <v>#VALUE!</v>
      </c>
      <c r="W64" s="4" t="e">
        <f>V64*(1+'Tenure Split (Mid and SW Wales)'!D$109)+(V$44*(-(50-$T64)*('Tenure Split (Mid and SW Wales)'!D$110/40)))</f>
        <v>#VALUE!</v>
      </c>
      <c r="X64" s="4" t="e">
        <f>W64*(1+'Tenure Split (Mid and SW Wales)'!E$109)+(W$44*(-(50-$T64)*('Tenure Split (Mid and SW Wales)'!E$110/40)))</f>
        <v>#VALUE!</v>
      </c>
      <c r="Y64" s="4" t="e">
        <f>X64*(1+'Tenure Split (Mid and SW Wales)'!F$109)+(X$44*(-(50-$T64)*('Tenure Split (Mid and SW Wales)'!F$110/40)))</f>
        <v>#VALUE!</v>
      </c>
      <c r="Z64" s="4" t="e">
        <f>Y64*(1+'Tenure Split (Mid and SW Wales)'!G$109)+(Y$44*(-(50-$T64)*('Tenure Split (Mid and SW Wales)'!G$110/40)))</f>
        <v>#VALUE!</v>
      </c>
      <c r="AB64" s="1">
        <v>70</v>
      </c>
      <c r="AC64" s="4">
        <f>IF('Tenure Split (WALES)'!$D$8="WG Estimates",'Income (Mid and SW Wales)'!D64,'Income (Mid and SW Wales)'!V64)</f>
        <v>38164.725388911203</v>
      </c>
      <c r="AD64" s="4">
        <f>IF('Tenure Split (WALES)'!$D$8="WG Estimates",'Income (Mid and SW Wales)'!E64,'Income (Mid and SW Wales)'!W64)</f>
        <v>39276.547151172374</v>
      </c>
      <c r="AE64" s="4">
        <f>IF('Tenure Split (WALES)'!$D$8="WG Estimates",'Income (Mid and SW Wales)'!F64,'Income (Mid and SW Wales)'!X64)</f>
        <v>40698.854147926475</v>
      </c>
      <c r="AF64" s="4">
        <f>IF('Tenure Split (WALES)'!$D$8="WG Estimates",'Income (Mid and SW Wales)'!G64,'Income (Mid and SW Wales)'!Y64)</f>
        <v>42346.516731773852</v>
      </c>
      <c r="AG64" s="4">
        <f>IF('Tenure Split (WALES)'!$D$8="WG Estimates",'Income (Mid and SW Wales)'!H64,'Income (Mid and SW Wales)'!Z64)</f>
        <v>44101.759554053839</v>
      </c>
    </row>
    <row r="65" spans="2:33" x14ac:dyDescent="0.25">
      <c r="B65" s="20">
        <v>71</v>
      </c>
      <c r="C65" s="58">
        <v>37805.839999999997</v>
      </c>
      <c r="D65" s="59">
        <f>C65*(1+'Tenure Split (Mid and SW Wales)'!C$109)+(C$44*(-(50-$B65)*('Tenure Split (Mid and SW Wales)'!C$110/40)))</f>
        <v>39275.715912224223</v>
      </c>
      <c r="E65" s="59">
        <f>D65*(1+'Tenure Split (Mid and SW Wales)'!D$109)+(D$44*(-(50-$B65)*('Tenure Split (Mid and SW Wales)'!D$110/40)))</f>
        <v>40422.630622169614</v>
      </c>
      <c r="F65" s="59">
        <f>E65*(1+'Tenure Split (Mid and SW Wales)'!E$109)+(E$44*(-(50-$B65)*('Tenure Split (Mid and SW Wales)'!E$110/40)))</f>
        <v>41889.228506605192</v>
      </c>
      <c r="G65" s="59">
        <f>F65*(1+'Tenure Split (Mid and SW Wales)'!F$109)+(F$44*(-(50-$B65)*('Tenure Split (Mid and SW Wales)'!F$110/40)))</f>
        <v>43587.952682386487</v>
      </c>
      <c r="H65" s="60">
        <f>G65*(1+'Tenure Split (Mid and SW Wales)'!G$109)+(G$44*(-(50-$B65)*('Tenure Split (Mid and SW Wales)'!G$110/40)))</f>
        <v>45397.619329559668</v>
      </c>
      <c r="L65" s="64" t="str">
        <f t="shared" si="0"/>
        <v/>
      </c>
      <c r="M65" s="251"/>
      <c r="N65" s="14">
        <f t="shared" si="3"/>
        <v>1</v>
      </c>
      <c r="T65" s="1">
        <f t="shared" si="1"/>
        <v>71</v>
      </c>
      <c r="U65" s="4" t="str">
        <f t="shared" si="2"/>
        <v/>
      </c>
      <c r="V65" s="4" t="e">
        <f>IF($V$3=$M$3,M65,U65*(1+'Tenure Split (Mid and SW Wales)'!C$109)+(U$44*(-(50-$T65)*('Tenure Split (Mid and SW Wales)'!C$110/40))))</f>
        <v>#VALUE!</v>
      </c>
      <c r="W65" s="4" t="e">
        <f>V65*(1+'Tenure Split (Mid and SW Wales)'!D$109)+(V$44*(-(50-$T65)*('Tenure Split (Mid and SW Wales)'!D$110/40)))</f>
        <v>#VALUE!</v>
      </c>
      <c r="X65" s="4" t="e">
        <f>W65*(1+'Tenure Split (Mid and SW Wales)'!E$109)+(W$44*(-(50-$T65)*('Tenure Split (Mid and SW Wales)'!E$110/40)))</f>
        <v>#VALUE!</v>
      </c>
      <c r="Y65" s="4" t="e">
        <f>X65*(1+'Tenure Split (Mid and SW Wales)'!F$109)+(X$44*(-(50-$T65)*('Tenure Split (Mid and SW Wales)'!F$110/40)))</f>
        <v>#VALUE!</v>
      </c>
      <c r="Z65" s="4" t="e">
        <f>Y65*(1+'Tenure Split (Mid and SW Wales)'!G$109)+(Y$44*(-(50-$T65)*('Tenure Split (Mid and SW Wales)'!G$110/40)))</f>
        <v>#VALUE!</v>
      </c>
      <c r="AB65" s="1">
        <v>71</v>
      </c>
      <c r="AC65" s="4">
        <f>IF('Tenure Split (WALES)'!$D$8="WG Estimates",'Income (Mid and SW Wales)'!D65,'Income (Mid and SW Wales)'!V65)</f>
        <v>39275.715912224223</v>
      </c>
      <c r="AD65" s="4">
        <f>IF('Tenure Split (WALES)'!$D$8="WG Estimates",'Income (Mid and SW Wales)'!E65,'Income (Mid and SW Wales)'!W65)</f>
        <v>40422.630622169614</v>
      </c>
      <c r="AE65" s="4">
        <f>IF('Tenure Split (WALES)'!$D$8="WG Estimates",'Income (Mid and SW Wales)'!F65,'Income (Mid and SW Wales)'!X65)</f>
        <v>41889.228506605192</v>
      </c>
      <c r="AF65" s="4">
        <f>IF('Tenure Split (WALES)'!$D$8="WG Estimates",'Income (Mid and SW Wales)'!G65,'Income (Mid and SW Wales)'!Y65)</f>
        <v>43587.952682386487</v>
      </c>
      <c r="AG65" s="4">
        <f>IF('Tenure Split (WALES)'!$D$8="WG Estimates",'Income (Mid and SW Wales)'!H65,'Income (Mid and SW Wales)'!Z65)</f>
        <v>45397.619329559668</v>
      </c>
    </row>
    <row r="66" spans="2:33" x14ac:dyDescent="0.25">
      <c r="B66" s="20">
        <v>72</v>
      </c>
      <c r="C66" s="58">
        <v>38550</v>
      </c>
      <c r="D66" s="59">
        <f>C66*(1+'Tenure Split (Mid and SW Wales)'!C$109)+(C$44*(-(50-$B66)*('Tenure Split (Mid and SW Wales)'!C$110/40)))</f>
        <v>40052.507330418899</v>
      </c>
      <c r="E66" s="59">
        <f>D66*(1+'Tenure Split (Mid and SW Wales)'!D$109)+(D$44*(-(50-$B66)*('Tenure Split (Mid and SW Wales)'!D$110/40)))</f>
        <v>41225.922329861074</v>
      </c>
      <c r="F66" s="59">
        <f>E66*(1+'Tenure Split (Mid and SW Wales)'!E$109)+(E$44*(-(50-$B66)*('Tenure Split (Mid and SW Wales)'!E$110/40)))</f>
        <v>42725.566499806999</v>
      </c>
      <c r="G66" s="59">
        <f>F66*(1+'Tenure Split (Mid and SW Wales)'!F$109)+(F$44*(-(50-$B66)*('Tenure Split (Mid and SW Wales)'!F$110/40)))</f>
        <v>44462.222527070808</v>
      </c>
      <c r="H66" s="60">
        <f>G66*(1+'Tenure Split (Mid and SW Wales)'!G$109)+(G$44*(-(50-$B66)*('Tenure Split (Mid and SW Wales)'!G$110/40)))</f>
        <v>46312.33784091127</v>
      </c>
      <c r="L66" s="64" t="str">
        <f t="shared" si="0"/>
        <v/>
      </c>
      <c r="M66" s="251"/>
      <c r="N66" s="14">
        <f t="shared" si="3"/>
        <v>1</v>
      </c>
      <c r="T66" s="1">
        <f t="shared" si="1"/>
        <v>72</v>
      </c>
      <c r="U66" s="4" t="str">
        <f t="shared" si="2"/>
        <v/>
      </c>
      <c r="V66" s="4" t="e">
        <f>IF($V$3=$M$3,M66,U66*(1+'Tenure Split (Mid and SW Wales)'!C$109)+(U$44*(-(50-$T66)*('Tenure Split (Mid and SW Wales)'!C$110/40))))</f>
        <v>#VALUE!</v>
      </c>
      <c r="W66" s="4" t="e">
        <f>V66*(1+'Tenure Split (Mid and SW Wales)'!D$109)+(V$44*(-(50-$T66)*('Tenure Split (Mid and SW Wales)'!D$110/40)))</f>
        <v>#VALUE!</v>
      </c>
      <c r="X66" s="4" t="e">
        <f>W66*(1+'Tenure Split (Mid and SW Wales)'!E$109)+(W$44*(-(50-$T66)*('Tenure Split (Mid and SW Wales)'!E$110/40)))</f>
        <v>#VALUE!</v>
      </c>
      <c r="Y66" s="4" t="e">
        <f>X66*(1+'Tenure Split (Mid and SW Wales)'!F$109)+(X$44*(-(50-$T66)*('Tenure Split (Mid and SW Wales)'!F$110/40)))</f>
        <v>#VALUE!</v>
      </c>
      <c r="Z66" s="4" t="e">
        <f>Y66*(1+'Tenure Split (Mid and SW Wales)'!G$109)+(Y$44*(-(50-$T66)*('Tenure Split (Mid and SW Wales)'!G$110/40)))</f>
        <v>#VALUE!</v>
      </c>
      <c r="AB66" s="1">
        <v>72</v>
      </c>
      <c r="AC66" s="4">
        <f>IF('Tenure Split (WALES)'!$D$8="WG Estimates",'Income (Mid and SW Wales)'!D66,'Income (Mid and SW Wales)'!V66)</f>
        <v>40052.507330418899</v>
      </c>
      <c r="AD66" s="4">
        <f>IF('Tenure Split (WALES)'!$D$8="WG Estimates",'Income (Mid and SW Wales)'!E66,'Income (Mid and SW Wales)'!W66)</f>
        <v>41225.922329861074</v>
      </c>
      <c r="AE66" s="4">
        <f>IF('Tenure Split (WALES)'!$D$8="WG Estimates",'Income (Mid and SW Wales)'!F66,'Income (Mid and SW Wales)'!X66)</f>
        <v>42725.566499806999</v>
      </c>
      <c r="AF66" s="4">
        <f>IF('Tenure Split (WALES)'!$D$8="WG Estimates",'Income (Mid and SW Wales)'!G66,'Income (Mid and SW Wales)'!Y66)</f>
        <v>44462.222527070808</v>
      </c>
      <c r="AG66" s="4">
        <f>IF('Tenure Split (WALES)'!$D$8="WG Estimates",'Income (Mid and SW Wales)'!H66,'Income (Mid and SW Wales)'!Z66)</f>
        <v>46312.33784091127</v>
      </c>
    </row>
    <row r="67" spans="2:33" x14ac:dyDescent="0.25">
      <c r="B67" s="20">
        <v>73</v>
      </c>
      <c r="C67" s="58">
        <v>39577</v>
      </c>
      <c r="D67" s="59">
        <f>C67*(1+'Tenure Split (Mid and SW Wales)'!C$109)+(C$44*(-(50-$B67)*('Tenure Split (Mid and SW Wales)'!C$110/40)))</f>
        <v>41122.144881867411</v>
      </c>
      <c r="E67" s="59">
        <f>D67*(1+'Tenure Split (Mid and SW Wales)'!D$109)+(D$44*(-(50-$B67)*('Tenure Split (Mid and SW Wales)'!D$110/40)))</f>
        <v>42329.589594691781</v>
      </c>
      <c r="F67" s="59">
        <f>E67*(1+'Tenure Split (Mid and SW Wales)'!E$109)+(E$44*(-(50-$B67)*('Tenure Split (Mid and SW Wales)'!E$110/40)))</f>
        <v>43872.133273018379</v>
      </c>
      <c r="G67" s="59">
        <f>F67*(1+'Tenure Split (Mid and SW Wales)'!F$109)+(F$44*(-(50-$B67)*('Tenure Split (Mid and SW Wales)'!F$110/40)))</f>
        <v>45658.226250560401</v>
      </c>
      <c r="H67" s="60">
        <f>G67*(1+'Tenure Split (Mid and SW Wales)'!G$109)+(G$44*(-(50-$B67)*('Tenure Split (Mid and SW Wales)'!G$110/40)))</f>
        <v>47561.036137730945</v>
      </c>
      <c r="L67" s="64" t="str">
        <f t="shared" si="0"/>
        <v/>
      </c>
      <c r="M67" s="251"/>
      <c r="N67" s="14">
        <f t="shared" si="3"/>
        <v>1</v>
      </c>
      <c r="T67" s="1">
        <f t="shared" si="1"/>
        <v>73</v>
      </c>
      <c r="U67" s="4" t="str">
        <f t="shared" si="2"/>
        <v/>
      </c>
      <c r="V67" s="4" t="e">
        <f>IF($V$3=$M$3,M67,U67*(1+'Tenure Split (Mid and SW Wales)'!C$109)+(U$44*(-(50-$T67)*('Tenure Split (Mid and SW Wales)'!C$110/40))))</f>
        <v>#VALUE!</v>
      </c>
      <c r="W67" s="4" t="e">
        <f>V67*(1+'Tenure Split (Mid and SW Wales)'!D$109)+(V$44*(-(50-$T67)*('Tenure Split (Mid and SW Wales)'!D$110/40)))</f>
        <v>#VALUE!</v>
      </c>
      <c r="X67" s="4" t="e">
        <f>W67*(1+'Tenure Split (Mid and SW Wales)'!E$109)+(W$44*(-(50-$T67)*('Tenure Split (Mid and SW Wales)'!E$110/40)))</f>
        <v>#VALUE!</v>
      </c>
      <c r="Y67" s="4" t="e">
        <f>X67*(1+'Tenure Split (Mid and SW Wales)'!F$109)+(X$44*(-(50-$T67)*('Tenure Split (Mid and SW Wales)'!F$110/40)))</f>
        <v>#VALUE!</v>
      </c>
      <c r="Z67" s="4" t="e">
        <f>Y67*(1+'Tenure Split (Mid and SW Wales)'!G$109)+(Y$44*(-(50-$T67)*('Tenure Split (Mid and SW Wales)'!G$110/40)))</f>
        <v>#VALUE!</v>
      </c>
      <c r="AB67" s="1">
        <v>73</v>
      </c>
      <c r="AC67" s="4">
        <f>IF('Tenure Split (WALES)'!$D$8="WG Estimates",'Income (Mid and SW Wales)'!D67,'Income (Mid and SW Wales)'!V67)</f>
        <v>41122.144881867411</v>
      </c>
      <c r="AD67" s="4">
        <f>IF('Tenure Split (WALES)'!$D$8="WG Estimates",'Income (Mid and SW Wales)'!E67,'Income (Mid and SW Wales)'!W67)</f>
        <v>42329.589594691781</v>
      </c>
      <c r="AE67" s="4">
        <f>IF('Tenure Split (WALES)'!$D$8="WG Estimates",'Income (Mid and SW Wales)'!F67,'Income (Mid and SW Wales)'!X67)</f>
        <v>43872.133273018379</v>
      </c>
      <c r="AF67" s="4">
        <f>IF('Tenure Split (WALES)'!$D$8="WG Estimates",'Income (Mid and SW Wales)'!G67,'Income (Mid and SW Wales)'!Y67)</f>
        <v>45658.226250560401</v>
      </c>
      <c r="AG67" s="4">
        <f>IF('Tenure Split (WALES)'!$D$8="WG Estimates",'Income (Mid and SW Wales)'!H67,'Income (Mid and SW Wales)'!Z67)</f>
        <v>47561.036137730945</v>
      </c>
    </row>
    <row r="68" spans="2:33" x14ac:dyDescent="0.25">
      <c r="B68" s="20">
        <v>74</v>
      </c>
      <c r="C68" s="58">
        <v>40246.400000000001</v>
      </c>
      <c r="D68" s="59">
        <f>C68*(1+'Tenure Split (Mid and SW Wales)'!C$109)+(C$44*(-(50-$B68)*('Tenure Split (Mid and SW Wales)'!C$110/40)))</f>
        <v>41821.531488429864</v>
      </c>
      <c r="E68" s="59">
        <f>D68*(1+'Tenure Split (Mid and SW Wales)'!D$109)+(D$44*(-(50-$B68)*('Tenure Split (Mid and SW Wales)'!D$110/40)))</f>
        <v>43053.486320585282</v>
      </c>
      <c r="F68" s="59">
        <f>E68*(1+'Tenure Split (Mid and SW Wales)'!E$109)+(E$44*(-(50-$B68)*('Tenure Split (Mid and SW Wales)'!E$110/40)))</f>
        <v>44626.471889917244</v>
      </c>
      <c r="G68" s="59">
        <f>F68*(1+'Tenure Split (Mid and SW Wales)'!F$109)+(F$44*(-(50-$B68)*('Tenure Split (Mid and SW Wales)'!F$110/40)))</f>
        <v>46447.4557021621</v>
      </c>
      <c r="H68" s="60">
        <f>G68*(1+'Tenure Split (Mid and SW Wales)'!G$109)+(G$44*(-(50-$B68)*('Tenure Split (Mid and SW Wales)'!G$110/40)))</f>
        <v>48387.477429588842</v>
      </c>
      <c r="L68" s="64" t="str">
        <f t="shared" ref="L68:L84" si="4">IF(ISBLANK($K$4),"",B68)</f>
        <v/>
      </c>
      <c r="M68" s="251"/>
      <c r="N68" s="14">
        <f t="shared" si="3"/>
        <v>1</v>
      </c>
      <c r="T68" s="1">
        <f t="shared" ref="T68:T84" si="5">B68</f>
        <v>74</v>
      </c>
      <c r="U68" s="4" t="str">
        <f t="shared" ref="U68:U84" si="6">IF($M$3=$U$3,M68,"")</f>
        <v/>
      </c>
      <c r="V68" s="4" t="e">
        <f>IF($V$3=$M$3,M68,U68*(1+'Tenure Split (Mid and SW Wales)'!C$109)+(U$44*(-(50-$T68)*('Tenure Split (Mid and SW Wales)'!C$110/40))))</f>
        <v>#VALUE!</v>
      </c>
      <c r="W68" s="4" t="e">
        <f>V68*(1+'Tenure Split (Mid and SW Wales)'!D$109)+(V$44*(-(50-$T68)*('Tenure Split (Mid and SW Wales)'!D$110/40)))</f>
        <v>#VALUE!</v>
      </c>
      <c r="X68" s="4" t="e">
        <f>W68*(1+'Tenure Split (Mid and SW Wales)'!E$109)+(W$44*(-(50-$T68)*('Tenure Split (Mid and SW Wales)'!E$110/40)))</f>
        <v>#VALUE!</v>
      </c>
      <c r="Y68" s="4" t="e">
        <f>X68*(1+'Tenure Split (Mid and SW Wales)'!F$109)+(X$44*(-(50-$T68)*('Tenure Split (Mid and SW Wales)'!F$110/40)))</f>
        <v>#VALUE!</v>
      </c>
      <c r="Z68" s="4" t="e">
        <f>Y68*(1+'Tenure Split (Mid and SW Wales)'!G$109)+(Y$44*(-(50-$T68)*('Tenure Split (Mid and SW Wales)'!G$110/40)))</f>
        <v>#VALUE!</v>
      </c>
      <c r="AB68" s="1">
        <v>74</v>
      </c>
      <c r="AC68" s="4">
        <f>IF('Tenure Split (WALES)'!$D$8="WG Estimates",'Income (Mid and SW Wales)'!D68,'Income (Mid and SW Wales)'!V68)</f>
        <v>41821.531488429864</v>
      </c>
      <c r="AD68" s="4">
        <f>IF('Tenure Split (WALES)'!$D$8="WG Estimates",'Income (Mid and SW Wales)'!E68,'Income (Mid and SW Wales)'!W68)</f>
        <v>43053.486320585282</v>
      </c>
      <c r="AE68" s="4">
        <f>IF('Tenure Split (WALES)'!$D$8="WG Estimates",'Income (Mid and SW Wales)'!F68,'Income (Mid and SW Wales)'!X68)</f>
        <v>44626.471889917244</v>
      </c>
      <c r="AF68" s="4">
        <f>IF('Tenure Split (WALES)'!$D$8="WG Estimates",'Income (Mid and SW Wales)'!G68,'Income (Mid and SW Wales)'!Y68)</f>
        <v>46447.4557021621</v>
      </c>
      <c r="AG68" s="4">
        <f>IF('Tenure Split (WALES)'!$D$8="WG Estimates",'Income (Mid and SW Wales)'!H68,'Income (Mid and SW Wales)'!Z68)</f>
        <v>48387.477429588842</v>
      </c>
    </row>
    <row r="69" spans="2:33" x14ac:dyDescent="0.25">
      <c r="B69" s="20">
        <v>75</v>
      </c>
      <c r="C69" s="58">
        <v>41559.199999999997</v>
      </c>
      <c r="D69" s="59">
        <f>C69*(1+'Tenure Split (Mid and SW Wales)'!C$109)+(C$44*(-(50-$B69)*('Tenure Split (Mid and SW Wales)'!C$110/40)))</f>
        <v>43187.079890125686</v>
      </c>
      <c r="E69" s="59">
        <f>D69*(1+'Tenure Split (Mid and SW Wales)'!D$109)+(D$44*(-(50-$B69)*('Tenure Split (Mid and SW Wales)'!D$110/40)))</f>
        <v>44460.672657083378</v>
      </c>
      <c r="F69" s="59">
        <f>E69*(1+'Tenure Split (Mid and SW Wales)'!E$109)+(E$44*(-(50-$B69)*('Tenure Split (Mid and SW Wales)'!E$110/40)))</f>
        <v>46086.514074409715</v>
      </c>
      <c r="G69" s="59">
        <f>F69*(1+'Tenure Split (Mid and SW Wales)'!F$109)+(F$44*(-(50-$B69)*('Tenure Split (Mid and SW Wales)'!F$110/40)))</f>
        <v>47968.56033981713</v>
      </c>
      <c r="H69" s="60">
        <f>G69*(1+'Tenure Split (Mid and SW Wales)'!G$109)+(G$44*(-(50-$B69)*('Tenure Split (Mid and SW Wales)'!G$110/40)))</f>
        <v>49973.650704087704</v>
      </c>
      <c r="L69" s="64" t="str">
        <f t="shared" si="4"/>
        <v/>
      </c>
      <c r="M69" s="251"/>
      <c r="N69" s="14">
        <f t="shared" ref="N69:N84" si="7">IF(ISBLANK(M69),1,0)</f>
        <v>1</v>
      </c>
      <c r="T69" s="1">
        <f t="shared" si="5"/>
        <v>75</v>
      </c>
      <c r="U69" s="4" t="str">
        <f t="shared" si="6"/>
        <v/>
      </c>
      <c r="V69" s="4" t="e">
        <f>IF($V$3=$M$3,M69,U69*(1+'Tenure Split (Mid and SW Wales)'!C$109)+(U$44*(-(50-$T69)*('Tenure Split (Mid and SW Wales)'!C$110/40))))</f>
        <v>#VALUE!</v>
      </c>
      <c r="W69" s="4" t="e">
        <f>V69*(1+'Tenure Split (Mid and SW Wales)'!D$109)+(V$44*(-(50-$T69)*('Tenure Split (Mid and SW Wales)'!D$110/40)))</f>
        <v>#VALUE!</v>
      </c>
      <c r="X69" s="4" t="e">
        <f>W69*(1+'Tenure Split (Mid and SW Wales)'!E$109)+(W$44*(-(50-$T69)*('Tenure Split (Mid and SW Wales)'!E$110/40)))</f>
        <v>#VALUE!</v>
      </c>
      <c r="Y69" s="4" t="e">
        <f>X69*(1+'Tenure Split (Mid and SW Wales)'!F$109)+(X$44*(-(50-$T69)*('Tenure Split (Mid and SW Wales)'!F$110/40)))</f>
        <v>#VALUE!</v>
      </c>
      <c r="Z69" s="4" t="e">
        <f>Y69*(1+'Tenure Split (Mid and SW Wales)'!G$109)+(Y$44*(-(50-$T69)*('Tenure Split (Mid and SW Wales)'!G$110/40)))</f>
        <v>#VALUE!</v>
      </c>
      <c r="AB69" s="1">
        <v>75</v>
      </c>
      <c r="AC69" s="4">
        <f>IF('Tenure Split (WALES)'!$D$8="WG Estimates",'Income (Mid and SW Wales)'!D69,'Income (Mid and SW Wales)'!V69)</f>
        <v>43187.079890125686</v>
      </c>
      <c r="AD69" s="4">
        <f>IF('Tenure Split (WALES)'!$D$8="WG Estimates",'Income (Mid and SW Wales)'!E69,'Income (Mid and SW Wales)'!W69)</f>
        <v>44460.672657083378</v>
      </c>
      <c r="AE69" s="4">
        <f>IF('Tenure Split (WALES)'!$D$8="WG Estimates",'Income (Mid and SW Wales)'!F69,'Income (Mid and SW Wales)'!X69)</f>
        <v>46086.514074409715</v>
      </c>
      <c r="AF69" s="4">
        <f>IF('Tenure Split (WALES)'!$D$8="WG Estimates",'Income (Mid and SW Wales)'!G69,'Income (Mid and SW Wales)'!Y69)</f>
        <v>47968.56033981713</v>
      </c>
      <c r="AG69" s="4">
        <f>IF('Tenure Split (WALES)'!$D$8="WG Estimates",'Income (Mid and SW Wales)'!H69,'Income (Mid and SW Wales)'!Z69)</f>
        <v>49973.650704087704</v>
      </c>
    </row>
    <row r="70" spans="2:33" x14ac:dyDescent="0.25">
      <c r="B70" s="20">
        <v>76</v>
      </c>
      <c r="C70" s="58">
        <v>42536.5</v>
      </c>
      <c r="D70" s="59">
        <f>C70*(1+'Tenure Split (Mid and SW Wales)'!C$109)+(C$44*(-(50-$B70)*('Tenure Split (Mid and SW Wales)'!C$110/40)))</f>
        <v>44205.259186650161</v>
      </c>
      <c r="E70" s="59">
        <f>D70*(1+'Tenure Split (Mid and SW Wales)'!D$109)+(D$44*(-(50-$B70)*('Tenure Split (Mid and SW Wales)'!D$110/40)))</f>
        <v>45511.558613789988</v>
      </c>
      <c r="F70" s="59">
        <f>E70*(1+'Tenure Split (Mid and SW Wales)'!E$109)+(E$44*(-(50-$B70)*('Tenure Split (Mid and SW Wales)'!E$110/40)))</f>
        <v>47178.568153636952</v>
      </c>
      <c r="G70" s="59">
        <f>F70*(1+'Tenure Split (Mid and SW Wales)'!F$109)+(F$44*(-(50-$B70)*('Tenure Split (Mid and SW Wales)'!F$110/40)))</f>
        <v>49108.029719590762</v>
      </c>
      <c r="H70" s="60">
        <f>G70*(1+'Tenure Split (Mid and SW Wales)'!G$109)+(G$44*(-(50-$B70)*('Tenure Split (Mid and SW Wales)'!G$110/40)))</f>
        <v>51163.662834390037</v>
      </c>
      <c r="L70" s="64" t="str">
        <f t="shared" si="4"/>
        <v/>
      </c>
      <c r="M70" s="251"/>
      <c r="N70" s="14">
        <f t="shared" si="7"/>
        <v>1</v>
      </c>
      <c r="T70" s="1">
        <f t="shared" si="5"/>
        <v>76</v>
      </c>
      <c r="U70" s="4" t="str">
        <f t="shared" si="6"/>
        <v/>
      </c>
      <c r="V70" s="4" t="e">
        <f>IF($V$3=$M$3,M70,U70*(1+'Tenure Split (Mid and SW Wales)'!C$109)+(U$44*(-(50-$T70)*('Tenure Split (Mid and SW Wales)'!C$110/40))))</f>
        <v>#VALUE!</v>
      </c>
      <c r="W70" s="4" t="e">
        <f>V70*(1+'Tenure Split (Mid and SW Wales)'!D$109)+(V$44*(-(50-$T70)*('Tenure Split (Mid and SW Wales)'!D$110/40)))</f>
        <v>#VALUE!</v>
      </c>
      <c r="X70" s="4" t="e">
        <f>W70*(1+'Tenure Split (Mid and SW Wales)'!E$109)+(W$44*(-(50-$T70)*('Tenure Split (Mid and SW Wales)'!E$110/40)))</f>
        <v>#VALUE!</v>
      </c>
      <c r="Y70" s="4" t="e">
        <f>X70*(1+'Tenure Split (Mid and SW Wales)'!F$109)+(X$44*(-(50-$T70)*('Tenure Split (Mid and SW Wales)'!F$110/40)))</f>
        <v>#VALUE!</v>
      </c>
      <c r="Z70" s="4" t="e">
        <f>Y70*(1+'Tenure Split (Mid and SW Wales)'!G$109)+(Y$44*(-(50-$T70)*('Tenure Split (Mid and SW Wales)'!G$110/40)))</f>
        <v>#VALUE!</v>
      </c>
      <c r="AB70" s="1">
        <v>76</v>
      </c>
      <c r="AC70" s="4">
        <f>IF('Tenure Split (WALES)'!$D$8="WG Estimates",'Income (Mid and SW Wales)'!D70,'Income (Mid and SW Wales)'!V70)</f>
        <v>44205.259186650161</v>
      </c>
      <c r="AD70" s="4">
        <f>IF('Tenure Split (WALES)'!$D$8="WG Estimates",'Income (Mid and SW Wales)'!E70,'Income (Mid and SW Wales)'!W70)</f>
        <v>45511.558613789988</v>
      </c>
      <c r="AE70" s="4">
        <f>IF('Tenure Split (WALES)'!$D$8="WG Estimates",'Income (Mid and SW Wales)'!F70,'Income (Mid and SW Wales)'!X70)</f>
        <v>47178.568153636952</v>
      </c>
      <c r="AF70" s="4">
        <f>IF('Tenure Split (WALES)'!$D$8="WG Estimates",'Income (Mid and SW Wales)'!G70,'Income (Mid and SW Wales)'!Y70)</f>
        <v>49108.029719590762</v>
      </c>
      <c r="AG70" s="4">
        <f>IF('Tenure Split (WALES)'!$D$8="WG Estimates",'Income (Mid and SW Wales)'!H70,'Income (Mid and SW Wales)'!Z70)</f>
        <v>51163.662834390037</v>
      </c>
    </row>
    <row r="71" spans="2:33" x14ac:dyDescent="0.25">
      <c r="B71" s="20">
        <v>77</v>
      </c>
      <c r="C71" s="58">
        <v>43715</v>
      </c>
      <c r="D71" s="59">
        <f>C71*(1+'Tenure Split (Mid and SW Wales)'!C$109)+(C$44*(-(50-$B71)*('Tenure Split (Mid and SW Wales)'!C$110/40)))</f>
        <v>45431.756408541172</v>
      </c>
      <c r="E71" s="59">
        <f>D71*(1+'Tenure Split (Mid and SW Wales)'!D$109)+(D$44*(-(50-$B71)*('Tenure Split (Mid and SW Wales)'!D$110/40)))</f>
        <v>46776.11859855635</v>
      </c>
      <c r="F71" s="59">
        <f>E71*(1+'Tenure Split (Mid and SW Wales)'!E$109)+(E$44*(-(50-$B71)*('Tenure Split (Mid and SW Wales)'!E$110/40)))</f>
        <v>48491.305412534428</v>
      </c>
      <c r="G71" s="59">
        <f>F71*(1+'Tenure Split (Mid and SW Wales)'!F$109)+(F$44*(-(50-$B71)*('Tenure Split (Mid and SW Wales)'!F$110/40)))</f>
        <v>50476.366502898643</v>
      </c>
      <c r="H71" s="60">
        <f>G71*(1+'Tenure Split (Mid and SW Wales)'!G$109)+(G$44*(-(50-$B71)*('Tenure Split (Mid and SW Wales)'!G$110/40)))</f>
        <v>52591.25357039235</v>
      </c>
      <c r="L71" s="64" t="str">
        <f t="shared" si="4"/>
        <v/>
      </c>
      <c r="M71" s="251"/>
      <c r="N71" s="14">
        <f t="shared" si="7"/>
        <v>1</v>
      </c>
      <c r="T71" s="1">
        <f t="shared" si="5"/>
        <v>77</v>
      </c>
      <c r="U71" s="4" t="str">
        <f t="shared" si="6"/>
        <v/>
      </c>
      <c r="V71" s="4" t="e">
        <f>IF($V$3=$M$3,M71,U71*(1+'Tenure Split (Mid and SW Wales)'!C$109)+(U$44*(-(50-$T71)*('Tenure Split (Mid and SW Wales)'!C$110/40))))</f>
        <v>#VALUE!</v>
      </c>
      <c r="W71" s="4" t="e">
        <f>V71*(1+'Tenure Split (Mid and SW Wales)'!D$109)+(V$44*(-(50-$T71)*('Tenure Split (Mid and SW Wales)'!D$110/40)))</f>
        <v>#VALUE!</v>
      </c>
      <c r="X71" s="4" t="e">
        <f>W71*(1+'Tenure Split (Mid and SW Wales)'!E$109)+(W$44*(-(50-$T71)*('Tenure Split (Mid and SW Wales)'!E$110/40)))</f>
        <v>#VALUE!</v>
      </c>
      <c r="Y71" s="4" t="e">
        <f>X71*(1+'Tenure Split (Mid and SW Wales)'!F$109)+(X$44*(-(50-$T71)*('Tenure Split (Mid and SW Wales)'!F$110/40)))</f>
        <v>#VALUE!</v>
      </c>
      <c r="Z71" s="4" t="e">
        <f>Y71*(1+'Tenure Split (Mid and SW Wales)'!G$109)+(Y$44*(-(50-$T71)*('Tenure Split (Mid and SW Wales)'!G$110/40)))</f>
        <v>#VALUE!</v>
      </c>
      <c r="AB71" s="1">
        <v>77</v>
      </c>
      <c r="AC71" s="4">
        <f>IF('Tenure Split (WALES)'!$D$8="WG Estimates",'Income (Mid and SW Wales)'!D71,'Income (Mid and SW Wales)'!V71)</f>
        <v>45431.756408541172</v>
      </c>
      <c r="AD71" s="4">
        <f>IF('Tenure Split (WALES)'!$D$8="WG Estimates",'Income (Mid and SW Wales)'!E71,'Income (Mid and SW Wales)'!W71)</f>
        <v>46776.11859855635</v>
      </c>
      <c r="AE71" s="4">
        <f>IF('Tenure Split (WALES)'!$D$8="WG Estimates",'Income (Mid and SW Wales)'!F71,'Income (Mid and SW Wales)'!X71)</f>
        <v>48491.305412534428</v>
      </c>
      <c r="AF71" s="4">
        <f>IF('Tenure Split (WALES)'!$D$8="WG Estimates",'Income (Mid and SW Wales)'!G71,'Income (Mid and SW Wales)'!Y71)</f>
        <v>50476.366502898643</v>
      </c>
      <c r="AG71" s="4">
        <f>IF('Tenure Split (WALES)'!$D$8="WG Estimates",'Income (Mid and SW Wales)'!H71,'Income (Mid and SW Wales)'!Z71)</f>
        <v>52591.25357039235</v>
      </c>
    </row>
    <row r="72" spans="2:33" x14ac:dyDescent="0.25">
      <c r="B72" s="20">
        <v>78</v>
      </c>
      <c r="C72" s="58">
        <v>45238</v>
      </c>
      <c r="D72" s="59">
        <f>C72*(1+'Tenure Split (Mid and SW Wales)'!C$109)+(C$44*(-(50-$B72)*('Tenure Split (Mid and SW Wales)'!C$110/40)))</f>
        <v>47014.941131867454</v>
      </c>
      <c r="E72" s="59">
        <f>D72*(1+'Tenure Split (Mid and SW Wales)'!D$109)+(D$44*(-(50-$B72)*('Tenure Split (Mid and SW Wales)'!D$110/40)))</f>
        <v>48406.536946476706</v>
      </c>
      <c r="F72" s="59">
        <f>E72*(1+'Tenure Split (Mid and SW Wales)'!E$109)+(E$44*(-(50-$B72)*('Tenure Split (Mid and SW Wales)'!E$110/40)))</f>
        <v>50181.902290698279</v>
      </c>
      <c r="G72" s="59">
        <f>F72*(1+'Tenure Split (Mid and SW Wales)'!F$109)+(F$44*(-(50-$B72)*('Tenure Split (Mid and SW Wales)'!F$110/40)))</f>
        <v>52236.576151601861</v>
      </c>
      <c r="H72" s="60">
        <f>G72*(1+'Tenure Split (Mid and SW Wales)'!G$109)+(G$44*(-(50-$B72)*('Tenure Split (Mid and SW Wales)'!G$110/40)))</f>
        <v>54425.632724205985</v>
      </c>
      <c r="L72" s="64" t="str">
        <f t="shared" si="4"/>
        <v/>
      </c>
      <c r="M72" s="251"/>
      <c r="N72" s="14">
        <f t="shared" si="7"/>
        <v>1</v>
      </c>
      <c r="T72" s="1">
        <f t="shared" si="5"/>
        <v>78</v>
      </c>
      <c r="U72" s="4" t="str">
        <f t="shared" si="6"/>
        <v/>
      </c>
      <c r="V72" s="4" t="e">
        <f>IF($V$3=$M$3,M72,U72*(1+'Tenure Split (Mid and SW Wales)'!C$109)+(U$44*(-(50-$T72)*('Tenure Split (Mid and SW Wales)'!C$110/40))))</f>
        <v>#VALUE!</v>
      </c>
      <c r="W72" s="4" t="e">
        <f>V72*(1+'Tenure Split (Mid and SW Wales)'!D$109)+(V$44*(-(50-$T72)*('Tenure Split (Mid and SW Wales)'!D$110/40)))</f>
        <v>#VALUE!</v>
      </c>
      <c r="X72" s="4" t="e">
        <f>W72*(1+'Tenure Split (Mid and SW Wales)'!E$109)+(W$44*(-(50-$T72)*('Tenure Split (Mid and SW Wales)'!E$110/40)))</f>
        <v>#VALUE!</v>
      </c>
      <c r="Y72" s="4" t="e">
        <f>X72*(1+'Tenure Split (Mid and SW Wales)'!F$109)+(X$44*(-(50-$T72)*('Tenure Split (Mid and SW Wales)'!F$110/40)))</f>
        <v>#VALUE!</v>
      </c>
      <c r="Z72" s="4" t="e">
        <f>Y72*(1+'Tenure Split (Mid and SW Wales)'!G$109)+(Y$44*(-(50-$T72)*('Tenure Split (Mid and SW Wales)'!G$110/40)))</f>
        <v>#VALUE!</v>
      </c>
      <c r="AB72" s="1">
        <v>78</v>
      </c>
      <c r="AC72" s="4">
        <f>IF('Tenure Split (WALES)'!$D$8="WG Estimates",'Income (Mid and SW Wales)'!D72,'Income (Mid and SW Wales)'!V72)</f>
        <v>47014.941131867454</v>
      </c>
      <c r="AD72" s="4">
        <f>IF('Tenure Split (WALES)'!$D$8="WG Estimates",'Income (Mid and SW Wales)'!E72,'Income (Mid and SW Wales)'!W72)</f>
        <v>48406.536946476706</v>
      </c>
      <c r="AE72" s="4">
        <f>IF('Tenure Split (WALES)'!$D$8="WG Estimates",'Income (Mid and SW Wales)'!F72,'Income (Mid and SW Wales)'!X72)</f>
        <v>50181.902290698279</v>
      </c>
      <c r="AF72" s="4">
        <f>IF('Tenure Split (WALES)'!$D$8="WG Estimates",'Income (Mid and SW Wales)'!G72,'Income (Mid and SW Wales)'!Y72)</f>
        <v>52236.576151601861</v>
      </c>
      <c r="AG72" s="4">
        <f>IF('Tenure Split (WALES)'!$D$8="WG Estimates",'Income (Mid and SW Wales)'!H72,'Income (Mid and SW Wales)'!Z72)</f>
        <v>54425.632724205985</v>
      </c>
    </row>
    <row r="73" spans="2:33" x14ac:dyDescent="0.25">
      <c r="B73" s="20">
        <v>79</v>
      </c>
      <c r="C73" s="58">
        <v>46270.1</v>
      </c>
      <c r="D73" s="59">
        <f>C73*(1+'Tenure Split (Mid and SW Wales)'!C$109)+(C$44*(-(50-$B73)*('Tenure Split (Mid and SW Wales)'!C$110/40)))</f>
        <v>48089.859107865515</v>
      </c>
      <c r="E73" s="59">
        <f>D73*(1+'Tenure Split (Mid and SW Wales)'!D$109)+(D$44*(-(50-$B73)*('Tenure Split (Mid and SW Wales)'!D$110/40)))</f>
        <v>49515.620401879503</v>
      </c>
      <c r="F73" s="59">
        <f>E73*(1+'Tenure Split (Mid and SW Wales)'!E$109)+(E$44*(-(50-$B73)*('Tenure Split (Mid and SW Wales)'!E$110/40)))</f>
        <v>51334.062921843644</v>
      </c>
      <c r="G73" s="59">
        <f>F73*(1+'Tenure Split (Mid and SW Wales)'!F$109)+(F$44*(-(50-$B73)*('Tenure Split (Mid and SW Wales)'!F$110/40)))</f>
        <v>53438.38118601602</v>
      </c>
      <c r="H73" s="60">
        <f>G73*(1+'Tenure Split (Mid and SW Wales)'!G$109)+(G$44*(-(50-$B73)*('Tenure Split (Mid and SW Wales)'!G$110/40)))</f>
        <v>55680.353142740714</v>
      </c>
      <c r="L73" s="64" t="str">
        <f t="shared" si="4"/>
        <v/>
      </c>
      <c r="M73" s="251"/>
      <c r="N73" s="14">
        <f t="shared" si="7"/>
        <v>1</v>
      </c>
      <c r="T73" s="1">
        <f t="shared" si="5"/>
        <v>79</v>
      </c>
      <c r="U73" s="4" t="str">
        <f t="shared" si="6"/>
        <v/>
      </c>
      <c r="V73" s="4" t="e">
        <f>IF($V$3=$M$3,M73,U73*(1+'Tenure Split (Mid and SW Wales)'!C$109)+(U$44*(-(50-$T73)*('Tenure Split (Mid and SW Wales)'!C$110/40))))</f>
        <v>#VALUE!</v>
      </c>
      <c r="W73" s="4" t="e">
        <f>V73*(1+'Tenure Split (Mid and SW Wales)'!D$109)+(V$44*(-(50-$T73)*('Tenure Split (Mid and SW Wales)'!D$110/40)))</f>
        <v>#VALUE!</v>
      </c>
      <c r="X73" s="4" t="e">
        <f>W73*(1+'Tenure Split (Mid and SW Wales)'!E$109)+(W$44*(-(50-$T73)*('Tenure Split (Mid and SW Wales)'!E$110/40)))</f>
        <v>#VALUE!</v>
      </c>
      <c r="Y73" s="4" t="e">
        <f>X73*(1+'Tenure Split (Mid and SW Wales)'!F$109)+(X$44*(-(50-$T73)*('Tenure Split (Mid and SW Wales)'!F$110/40)))</f>
        <v>#VALUE!</v>
      </c>
      <c r="Z73" s="4" t="e">
        <f>Y73*(1+'Tenure Split (Mid and SW Wales)'!G$109)+(Y$44*(-(50-$T73)*('Tenure Split (Mid and SW Wales)'!G$110/40)))</f>
        <v>#VALUE!</v>
      </c>
      <c r="AB73" s="1">
        <v>79</v>
      </c>
      <c r="AC73" s="4">
        <f>IF('Tenure Split (WALES)'!$D$8="WG Estimates",'Income (Mid and SW Wales)'!D73,'Income (Mid and SW Wales)'!V73)</f>
        <v>48089.859107865515</v>
      </c>
      <c r="AD73" s="4">
        <f>IF('Tenure Split (WALES)'!$D$8="WG Estimates",'Income (Mid and SW Wales)'!E73,'Income (Mid and SW Wales)'!W73)</f>
        <v>49515.620401879503</v>
      </c>
      <c r="AE73" s="4">
        <f>IF('Tenure Split (WALES)'!$D$8="WG Estimates",'Income (Mid and SW Wales)'!F73,'Income (Mid and SW Wales)'!X73)</f>
        <v>51334.062921843644</v>
      </c>
      <c r="AF73" s="4">
        <f>IF('Tenure Split (WALES)'!$D$8="WG Estimates",'Income (Mid and SW Wales)'!G73,'Income (Mid and SW Wales)'!Y73)</f>
        <v>53438.38118601602</v>
      </c>
      <c r="AG73" s="4">
        <f>IF('Tenure Split (WALES)'!$D$8="WG Estimates",'Income (Mid and SW Wales)'!H73,'Income (Mid and SW Wales)'!Z73)</f>
        <v>55680.353142740714</v>
      </c>
    </row>
    <row r="74" spans="2:33" x14ac:dyDescent="0.25">
      <c r="B74" s="20">
        <v>80</v>
      </c>
      <c r="C74" s="58">
        <v>47780.15</v>
      </c>
      <c r="D74" s="59">
        <f>C74*(1+'Tenure Split (Mid and SW Wales)'!C$109)+(C$44*(-(50-$B74)*('Tenure Split (Mid and SW Wales)'!C$110/40)))</f>
        <v>49659.635694345387</v>
      </c>
      <c r="E74" s="59">
        <f>D74*(1+'Tenure Split (Mid and SW Wales)'!D$109)+(D$44*(-(50-$B74)*('Tenure Split (Mid and SW Wales)'!D$110/40)))</f>
        <v>51132.285873739362</v>
      </c>
      <c r="F74" s="59">
        <f>E74*(1+'Tenure Split (Mid and SW Wales)'!E$109)+(E$44*(-(50-$B74)*('Tenure Split (Mid and SW Wales)'!E$110/40)))</f>
        <v>53010.45578819474</v>
      </c>
      <c r="G74" s="59">
        <f>F74*(1+'Tenure Split (Mid and SW Wales)'!F$109)+(F$44*(-(50-$B74)*('Tenure Split (Mid and SW Wales)'!F$110/40)))</f>
        <v>55183.860055018624</v>
      </c>
      <c r="H74" s="60">
        <f>G74*(1+'Tenure Split (Mid and SW Wales)'!G$109)+(G$44*(-(50-$B74)*('Tenure Split (Mid and SW Wales)'!G$110/40)))</f>
        <v>57499.44083063084</v>
      </c>
      <c r="L74" s="64" t="str">
        <f t="shared" si="4"/>
        <v/>
      </c>
      <c r="M74" s="251"/>
      <c r="N74" s="14">
        <f t="shared" si="7"/>
        <v>1</v>
      </c>
      <c r="T74" s="1">
        <f t="shared" si="5"/>
        <v>80</v>
      </c>
      <c r="U74" s="4" t="str">
        <f t="shared" si="6"/>
        <v/>
      </c>
      <c r="V74" s="4" t="e">
        <f>IF($V$3=$M$3,M74,U74*(1+'Tenure Split (Mid and SW Wales)'!C$109)+(U$44*(-(50-$T74)*('Tenure Split (Mid and SW Wales)'!C$110/40))))</f>
        <v>#VALUE!</v>
      </c>
      <c r="W74" s="4" t="e">
        <f>V74*(1+'Tenure Split (Mid and SW Wales)'!D$109)+(V$44*(-(50-$T74)*('Tenure Split (Mid and SW Wales)'!D$110/40)))</f>
        <v>#VALUE!</v>
      </c>
      <c r="X74" s="4" t="e">
        <f>W74*(1+'Tenure Split (Mid and SW Wales)'!E$109)+(W$44*(-(50-$T74)*('Tenure Split (Mid and SW Wales)'!E$110/40)))</f>
        <v>#VALUE!</v>
      </c>
      <c r="Y74" s="4" t="e">
        <f>X74*(1+'Tenure Split (Mid and SW Wales)'!F$109)+(X$44*(-(50-$T74)*('Tenure Split (Mid and SW Wales)'!F$110/40)))</f>
        <v>#VALUE!</v>
      </c>
      <c r="Z74" s="4" t="e">
        <f>Y74*(1+'Tenure Split (Mid and SW Wales)'!G$109)+(Y$44*(-(50-$T74)*('Tenure Split (Mid and SW Wales)'!G$110/40)))</f>
        <v>#VALUE!</v>
      </c>
      <c r="AB74" s="1">
        <v>80</v>
      </c>
      <c r="AC74" s="4">
        <f>IF('Tenure Split (WALES)'!$D$8="WG Estimates",'Income (Mid and SW Wales)'!D74,'Income (Mid and SW Wales)'!V74)</f>
        <v>49659.635694345387</v>
      </c>
      <c r="AD74" s="4">
        <f>IF('Tenure Split (WALES)'!$D$8="WG Estimates",'Income (Mid and SW Wales)'!E74,'Income (Mid and SW Wales)'!W74)</f>
        <v>51132.285873739362</v>
      </c>
      <c r="AE74" s="4">
        <f>IF('Tenure Split (WALES)'!$D$8="WG Estimates",'Income (Mid and SW Wales)'!F74,'Income (Mid and SW Wales)'!X74)</f>
        <v>53010.45578819474</v>
      </c>
      <c r="AF74" s="4">
        <f>IF('Tenure Split (WALES)'!$D$8="WG Estimates",'Income (Mid and SW Wales)'!G74,'Income (Mid and SW Wales)'!Y74)</f>
        <v>55183.860055018624</v>
      </c>
      <c r="AG74" s="4">
        <f>IF('Tenure Split (WALES)'!$D$8="WG Estimates",'Income (Mid and SW Wales)'!H74,'Income (Mid and SW Wales)'!Z74)</f>
        <v>57499.44083063084</v>
      </c>
    </row>
    <row r="75" spans="2:33" x14ac:dyDescent="0.25">
      <c r="B75" s="20">
        <v>81</v>
      </c>
      <c r="C75" s="58">
        <v>48695</v>
      </c>
      <c r="D75" s="59">
        <f>C75*(1+'Tenure Split (Mid and SW Wales)'!C$109)+(C$44*(-(50-$B75)*('Tenure Split (Mid and SW Wales)'!C$110/40)))</f>
        <v>50613.155674571943</v>
      </c>
      <c r="E75" s="59">
        <f>D75*(1+'Tenure Split (Mid and SW Wales)'!D$109)+(D$44*(-(50-$B75)*('Tenure Split (Mid and SW Wales)'!D$110/40)))</f>
        <v>52116.850045891631</v>
      </c>
      <c r="F75" s="59">
        <f>E75*(1+'Tenure Split (Mid and SW Wales)'!E$109)+(E$44*(-(50-$B75)*('Tenure Split (Mid and SW Wales)'!E$110/40)))</f>
        <v>54034.012528602849</v>
      </c>
      <c r="G75" s="59">
        <f>F75*(1+'Tenure Split (Mid and SW Wales)'!F$109)+(F$44*(-(50-$B75)*('Tenure Split (Mid and SW Wales)'!F$110/40)))</f>
        <v>56252.291813764845</v>
      </c>
      <c r="H75" s="60">
        <f>G75*(1+'Tenure Split (Mid and SW Wales)'!G$109)+(G$44*(-(50-$B75)*('Tenure Split (Mid and SW Wales)'!G$110/40)))</f>
        <v>58615.711490128182</v>
      </c>
      <c r="L75" s="64" t="str">
        <f t="shared" si="4"/>
        <v/>
      </c>
      <c r="M75" s="251"/>
      <c r="N75" s="14">
        <f t="shared" si="7"/>
        <v>1</v>
      </c>
      <c r="T75" s="1">
        <f t="shared" si="5"/>
        <v>81</v>
      </c>
      <c r="U75" s="4" t="str">
        <f t="shared" si="6"/>
        <v/>
      </c>
      <c r="V75" s="4" t="e">
        <f>IF($V$3=$M$3,M75,U75*(1+'Tenure Split (Mid and SW Wales)'!C$109)+(U$44*(-(50-$T75)*('Tenure Split (Mid and SW Wales)'!C$110/40))))</f>
        <v>#VALUE!</v>
      </c>
      <c r="W75" s="4" t="e">
        <f>V75*(1+'Tenure Split (Mid and SW Wales)'!D$109)+(V$44*(-(50-$T75)*('Tenure Split (Mid and SW Wales)'!D$110/40)))</f>
        <v>#VALUE!</v>
      </c>
      <c r="X75" s="4" t="e">
        <f>W75*(1+'Tenure Split (Mid and SW Wales)'!E$109)+(W$44*(-(50-$T75)*('Tenure Split (Mid and SW Wales)'!E$110/40)))</f>
        <v>#VALUE!</v>
      </c>
      <c r="Y75" s="4" t="e">
        <f>X75*(1+'Tenure Split (Mid and SW Wales)'!F$109)+(X$44*(-(50-$T75)*('Tenure Split (Mid and SW Wales)'!F$110/40)))</f>
        <v>#VALUE!</v>
      </c>
      <c r="Z75" s="4" t="e">
        <f>Y75*(1+'Tenure Split (Mid and SW Wales)'!G$109)+(Y$44*(-(50-$T75)*('Tenure Split (Mid and SW Wales)'!G$110/40)))</f>
        <v>#VALUE!</v>
      </c>
      <c r="AB75" s="1">
        <v>81</v>
      </c>
      <c r="AC75" s="4">
        <f>IF('Tenure Split (WALES)'!$D$8="WG Estimates",'Income (Mid and SW Wales)'!D75,'Income (Mid and SW Wales)'!V75)</f>
        <v>50613.155674571943</v>
      </c>
      <c r="AD75" s="4">
        <f>IF('Tenure Split (WALES)'!$D$8="WG Estimates",'Income (Mid and SW Wales)'!E75,'Income (Mid and SW Wales)'!W75)</f>
        <v>52116.850045891631</v>
      </c>
      <c r="AE75" s="4">
        <f>IF('Tenure Split (WALES)'!$D$8="WG Estimates",'Income (Mid and SW Wales)'!F75,'Income (Mid and SW Wales)'!X75)</f>
        <v>54034.012528602849</v>
      </c>
      <c r="AF75" s="4">
        <f>IF('Tenure Split (WALES)'!$D$8="WG Estimates",'Income (Mid and SW Wales)'!G75,'Income (Mid and SW Wales)'!Y75)</f>
        <v>56252.291813764845</v>
      </c>
      <c r="AG75" s="4">
        <f>IF('Tenure Split (WALES)'!$D$8="WG Estimates",'Income (Mid and SW Wales)'!H75,'Income (Mid and SW Wales)'!Z75)</f>
        <v>58615.711490128182</v>
      </c>
    </row>
    <row r="76" spans="2:33" x14ac:dyDescent="0.25">
      <c r="B76" s="20">
        <v>82</v>
      </c>
      <c r="C76" s="58">
        <v>50530</v>
      </c>
      <c r="D76" s="59">
        <f>C76*(1+'Tenure Split (Mid and SW Wales)'!C$109)+(C$44*(-(50-$B76)*('Tenure Split (Mid and SW Wales)'!C$110/40)))</f>
        <v>52519.37813504714</v>
      </c>
      <c r="E76" s="59">
        <f>D76*(1+'Tenure Split (Mid and SW Wales)'!D$109)+(D$44*(-(50-$B76)*('Tenure Split (Mid and SW Wales)'!D$110/40)))</f>
        <v>54078.611817045799</v>
      </c>
      <c r="F76" s="59">
        <f>E76*(1+'Tenure Split (Mid and SW Wales)'!E$109)+(E$44*(-(50-$B76)*('Tenure Split (Mid and SW Wales)'!E$110/40)))</f>
        <v>56066.821892140033</v>
      </c>
      <c r="G76" s="59">
        <f>F76*(1+'Tenure Split (Mid and SW Wales)'!F$109)+(F$44*(-(50-$B76)*('Tenure Split (Mid and SW Wales)'!F$110/40)))</f>
        <v>58367.405189618577</v>
      </c>
      <c r="H76" s="60">
        <f>G76*(1+'Tenure Split (Mid and SW Wales)'!G$109)+(G$44*(-(50-$B76)*('Tenure Split (Mid and SW Wales)'!G$110/40)))</f>
        <v>60818.502795921886</v>
      </c>
      <c r="L76" s="64" t="str">
        <f t="shared" si="4"/>
        <v/>
      </c>
      <c r="M76" s="251"/>
      <c r="N76" s="14">
        <f t="shared" si="7"/>
        <v>1</v>
      </c>
      <c r="T76" s="1">
        <f t="shared" si="5"/>
        <v>82</v>
      </c>
      <c r="U76" s="4" t="str">
        <f t="shared" si="6"/>
        <v/>
      </c>
      <c r="V76" s="4" t="e">
        <f>IF($V$3=$M$3,M76,U76*(1+'Tenure Split (Mid and SW Wales)'!C$109)+(U$44*(-(50-$T76)*('Tenure Split (Mid and SW Wales)'!C$110/40))))</f>
        <v>#VALUE!</v>
      </c>
      <c r="W76" s="4" t="e">
        <f>V76*(1+'Tenure Split (Mid and SW Wales)'!D$109)+(V$44*(-(50-$T76)*('Tenure Split (Mid and SW Wales)'!D$110/40)))</f>
        <v>#VALUE!</v>
      </c>
      <c r="X76" s="4" t="e">
        <f>W76*(1+'Tenure Split (Mid and SW Wales)'!E$109)+(W$44*(-(50-$T76)*('Tenure Split (Mid and SW Wales)'!E$110/40)))</f>
        <v>#VALUE!</v>
      </c>
      <c r="Y76" s="4" t="e">
        <f>X76*(1+'Tenure Split (Mid and SW Wales)'!F$109)+(X$44*(-(50-$T76)*('Tenure Split (Mid and SW Wales)'!F$110/40)))</f>
        <v>#VALUE!</v>
      </c>
      <c r="Z76" s="4" t="e">
        <f>Y76*(1+'Tenure Split (Mid and SW Wales)'!G$109)+(Y$44*(-(50-$T76)*('Tenure Split (Mid and SW Wales)'!G$110/40)))</f>
        <v>#VALUE!</v>
      </c>
      <c r="AB76" s="1">
        <v>82</v>
      </c>
      <c r="AC76" s="4">
        <f>IF('Tenure Split (WALES)'!$D$8="WG Estimates",'Income (Mid and SW Wales)'!D76,'Income (Mid and SW Wales)'!V76)</f>
        <v>52519.37813504714</v>
      </c>
      <c r="AD76" s="4">
        <f>IF('Tenure Split (WALES)'!$D$8="WG Estimates",'Income (Mid and SW Wales)'!E76,'Income (Mid and SW Wales)'!W76)</f>
        <v>54078.611817045799</v>
      </c>
      <c r="AE76" s="4">
        <f>IF('Tenure Split (WALES)'!$D$8="WG Estimates",'Income (Mid and SW Wales)'!F76,'Income (Mid and SW Wales)'!X76)</f>
        <v>56066.821892140033</v>
      </c>
      <c r="AF76" s="4">
        <f>IF('Tenure Split (WALES)'!$D$8="WG Estimates",'Income (Mid and SW Wales)'!G76,'Income (Mid and SW Wales)'!Y76)</f>
        <v>58367.405189618577</v>
      </c>
      <c r="AG76" s="4">
        <f>IF('Tenure Split (WALES)'!$D$8="WG Estimates",'Income (Mid and SW Wales)'!H76,'Income (Mid and SW Wales)'!Z76)</f>
        <v>60818.502795921886</v>
      </c>
    </row>
    <row r="77" spans="2:33" x14ac:dyDescent="0.25">
      <c r="B77" s="20">
        <v>83</v>
      </c>
      <c r="C77" s="58">
        <v>51803</v>
      </c>
      <c r="D77" s="59">
        <f>C77*(1+'Tenure Split (Mid and SW Wales)'!C$109)+(C$44*(-(50-$B77)*('Tenure Split (Mid and SW Wales)'!C$110/40)))</f>
        <v>53843.718517709218</v>
      </c>
      <c r="E77" s="59">
        <f>D77*(1+'Tenure Split (Mid and SW Wales)'!D$109)+(D$44*(-(50-$B77)*('Tenure Split (Mid and SW Wales)'!D$110/40)))</f>
        <v>55443.530627118555</v>
      </c>
      <c r="F77" s="59">
        <f>E77*(1+'Tenure Split (Mid and SW Wales)'!E$109)+(E$44*(-(50-$B77)*('Tenure Split (Mid and SW Wales)'!E$110/40)))</f>
        <v>57483.210048049616</v>
      </c>
      <c r="G77" s="59">
        <f>F77*(1+'Tenure Split (Mid and SW Wales)'!F$109)+(F$44*(-(50-$B77)*('Tenure Split (Mid and SW Wales)'!F$110/40)))</f>
        <v>59843.236851822992</v>
      </c>
      <c r="H77" s="60">
        <f>G77*(1+'Tenure Split (Mid and SW Wales)'!G$109)+(G$44*(-(50-$B77)*('Tenure Split (Mid and SW Wales)'!G$110/40)))</f>
        <v>62357.679904879697</v>
      </c>
      <c r="L77" s="64" t="str">
        <f t="shared" si="4"/>
        <v/>
      </c>
      <c r="M77" s="251"/>
      <c r="N77" s="14">
        <f t="shared" si="7"/>
        <v>1</v>
      </c>
      <c r="T77" s="1">
        <f t="shared" si="5"/>
        <v>83</v>
      </c>
      <c r="U77" s="4" t="str">
        <f t="shared" si="6"/>
        <v/>
      </c>
      <c r="V77" s="4" t="e">
        <f>IF($V$3=$M$3,M77,U77*(1+'Tenure Split (Mid and SW Wales)'!C$109)+(U$44*(-(50-$T77)*('Tenure Split (Mid and SW Wales)'!C$110/40))))</f>
        <v>#VALUE!</v>
      </c>
      <c r="W77" s="4" t="e">
        <f>V77*(1+'Tenure Split (Mid and SW Wales)'!D$109)+(V$44*(-(50-$T77)*('Tenure Split (Mid and SW Wales)'!D$110/40)))</f>
        <v>#VALUE!</v>
      </c>
      <c r="X77" s="4" t="e">
        <f>W77*(1+'Tenure Split (Mid and SW Wales)'!E$109)+(W$44*(-(50-$T77)*('Tenure Split (Mid and SW Wales)'!E$110/40)))</f>
        <v>#VALUE!</v>
      </c>
      <c r="Y77" s="4" t="e">
        <f>X77*(1+'Tenure Split (Mid and SW Wales)'!F$109)+(X$44*(-(50-$T77)*('Tenure Split (Mid and SW Wales)'!F$110/40)))</f>
        <v>#VALUE!</v>
      </c>
      <c r="Z77" s="4" t="e">
        <f>Y77*(1+'Tenure Split (Mid and SW Wales)'!G$109)+(Y$44*(-(50-$T77)*('Tenure Split (Mid and SW Wales)'!G$110/40)))</f>
        <v>#VALUE!</v>
      </c>
      <c r="AB77" s="1">
        <v>83</v>
      </c>
      <c r="AC77" s="4">
        <f>IF('Tenure Split (WALES)'!$D$8="WG Estimates",'Income (Mid and SW Wales)'!D77,'Income (Mid and SW Wales)'!V77)</f>
        <v>53843.718517709218</v>
      </c>
      <c r="AD77" s="4">
        <f>IF('Tenure Split (WALES)'!$D$8="WG Estimates",'Income (Mid and SW Wales)'!E77,'Income (Mid and SW Wales)'!W77)</f>
        <v>55443.530627118555</v>
      </c>
      <c r="AE77" s="4">
        <f>IF('Tenure Split (WALES)'!$D$8="WG Estimates",'Income (Mid and SW Wales)'!F77,'Income (Mid and SW Wales)'!X77)</f>
        <v>57483.210048049616</v>
      </c>
      <c r="AF77" s="4">
        <f>IF('Tenure Split (WALES)'!$D$8="WG Estimates",'Income (Mid and SW Wales)'!G77,'Income (Mid and SW Wales)'!Y77)</f>
        <v>59843.236851822992</v>
      </c>
      <c r="AG77" s="4">
        <f>IF('Tenure Split (WALES)'!$D$8="WG Estimates",'Income (Mid and SW Wales)'!H77,'Income (Mid and SW Wales)'!Z77)</f>
        <v>62357.679904879697</v>
      </c>
    </row>
    <row r="78" spans="2:33" x14ac:dyDescent="0.25">
      <c r="B78" s="20">
        <v>84</v>
      </c>
      <c r="C78" s="58">
        <v>52625.5</v>
      </c>
      <c r="D78" s="59">
        <f>C78*(1+'Tenure Split (Mid and SW Wales)'!C$109)+(C$44*(-(50-$B78)*('Tenure Split (Mid and SW Wales)'!C$110/40)))</f>
        <v>54701.621398494419</v>
      </c>
      <c r="E78" s="59">
        <f>D78*(1+'Tenure Split (Mid and SW Wales)'!D$109)+(D$44*(-(50-$B78)*('Tenure Split (Mid and SW Wales)'!D$110/40)))</f>
        <v>56330.019269989927</v>
      </c>
      <c r="F78" s="59">
        <f>E78*(1+'Tenure Split (Mid and SW Wales)'!E$109)+(E$44*(-(50-$B78)*('Tenure Split (Mid and SW Wales)'!E$110/40)))</f>
        <v>58405.474086457012</v>
      </c>
      <c r="G78" s="59">
        <f>F78*(1+'Tenure Split (Mid and SW Wales)'!F$109)+(F$44*(-(50-$B78)*('Tenure Split (Mid and SW Wales)'!F$110/40)))</f>
        <v>60806.61938235657</v>
      </c>
      <c r="H78" s="60">
        <f>G78*(1+'Tenure Split (Mid and SW Wales)'!G$109)+(G$44*(-(50-$B78)*('Tenure Split (Mid and SW Wales)'!G$110/40)))</f>
        <v>63364.902929007309</v>
      </c>
      <c r="L78" s="64" t="str">
        <f t="shared" si="4"/>
        <v/>
      </c>
      <c r="M78" s="251"/>
      <c r="N78" s="14">
        <f t="shared" si="7"/>
        <v>1</v>
      </c>
      <c r="T78" s="1">
        <f t="shared" si="5"/>
        <v>84</v>
      </c>
      <c r="U78" s="4" t="str">
        <f t="shared" si="6"/>
        <v/>
      </c>
      <c r="V78" s="4" t="e">
        <f>IF($V$3=$M$3,M78,U78*(1+'Tenure Split (Mid and SW Wales)'!C$109)+(U$44*(-(50-$T78)*('Tenure Split (Mid and SW Wales)'!C$110/40))))</f>
        <v>#VALUE!</v>
      </c>
      <c r="W78" s="4" t="e">
        <f>V78*(1+'Tenure Split (Mid and SW Wales)'!D$109)+(V$44*(-(50-$T78)*('Tenure Split (Mid and SW Wales)'!D$110/40)))</f>
        <v>#VALUE!</v>
      </c>
      <c r="X78" s="4" t="e">
        <f>W78*(1+'Tenure Split (Mid and SW Wales)'!E$109)+(W$44*(-(50-$T78)*('Tenure Split (Mid and SW Wales)'!E$110/40)))</f>
        <v>#VALUE!</v>
      </c>
      <c r="Y78" s="4" t="e">
        <f>X78*(1+'Tenure Split (Mid and SW Wales)'!F$109)+(X$44*(-(50-$T78)*('Tenure Split (Mid and SW Wales)'!F$110/40)))</f>
        <v>#VALUE!</v>
      </c>
      <c r="Z78" s="4" t="e">
        <f>Y78*(1+'Tenure Split (Mid and SW Wales)'!G$109)+(Y$44*(-(50-$T78)*('Tenure Split (Mid and SW Wales)'!G$110/40)))</f>
        <v>#VALUE!</v>
      </c>
      <c r="AB78" s="1">
        <v>84</v>
      </c>
      <c r="AC78" s="4">
        <f>IF('Tenure Split (WALES)'!$D$8="WG Estimates",'Income (Mid and SW Wales)'!D78,'Income (Mid and SW Wales)'!V78)</f>
        <v>54701.621398494419</v>
      </c>
      <c r="AD78" s="4">
        <f>IF('Tenure Split (WALES)'!$D$8="WG Estimates",'Income (Mid and SW Wales)'!E78,'Income (Mid and SW Wales)'!W78)</f>
        <v>56330.019269989927</v>
      </c>
      <c r="AE78" s="4">
        <f>IF('Tenure Split (WALES)'!$D$8="WG Estimates",'Income (Mid and SW Wales)'!F78,'Income (Mid and SW Wales)'!X78)</f>
        <v>58405.474086457012</v>
      </c>
      <c r="AF78" s="4">
        <f>IF('Tenure Split (WALES)'!$D$8="WG Estimates",'Income (Mid and SW Wales)'!G78,'Income (Mid and SW Wales)'!Y78)</f>
        <v>60806.61938235657</v>
      </c>
      <c r="AG78" s="4">
        <f>IF('Tenure Split (WALES)'!$D$8="WG Estimates",'Income (Mid and SW Wales)'!H78,'Income (Mid and SW Wales)'!Z78)</f>
        <v>63364.902929007309</v>
      </c>
    </row>
    <row r="79" spans="2:33" x14ac:dyDescent="0.25">
      <c r="B79" s="20">
        <v>85</v>
      </c>
      <c r="C79" s="58">
        <v>54428</v>
      </c>
      <c r="D79" s="59">
        <f>C79*(1+'Tenure Split (Mid and SW Wales)'!C$109)+(C$44*(-(50-$B79)*('Tenure Split (Mid and SW Wales)'!C$110/40)))</f>
        <v>56574.194094683269</v>
      </c>
      <c r="E79" s="59">
        <f>D79*(1+'Tenure Split (Mid and SW Wales)'!D$109)+(D$44*(-(50-$B79)*('Tenure Split (Mid and SW Wales)'!D$110/40)))</f>
        <v>58257.266101223904</v>
      </c>
      <c r="F79" s="59">
        <f>E79*(1+'Tenure Split (Mid and SW Wales)'!E$109)+(E$44*(-(50-$B79)*('Tenure Split (Mid and SW Wales)'!E$110/40)))</f>
        <v>60402.63631610114</v>
      </c>
      <c r="G79" s="59">
        <f>F79*(1+'Tenure Split (Mid and SW Wales)'!F$109)+(F$44*(-(50-$B79)*('Tenure Split (Mid and SW Wales)'!F$110/40)))</f>
        <v>62884.763619965452</v>
      </c>
      <c r="H79" s="60">
        <f>G79*(1+'Tenure Split (Mid and SW Wales)'!G$109)+(G$44*(-(50-$B79)*('Tenure Split (Mid and SW Wales)'!G$110/40)))</f>
        <v>65529.317968969764</v>
      </c>
      <c r="L79" s="64" t="str">
        <f t="shared" si="4"/>
        <v/>
      </c>
      <c r="M79" s="251"/>
      <c r="N79" s="14">
        <f t="shared" si="7"/>
        <v>1</v>
      </c>
      <c r="T79" s="1">
        <f t="shared" si="5"/>
        <v>85</v>
      </c>
      <c r="U79" s="4" t="str">
        <f t="shared" si="6"/>
        <v/>
      </c>
      <c r="V79" s="4" t="e">
        <f>IF($V$3=$M$3,M79,U79*(1+'Tenure Split (Mid and SW Wales)'!C$109)+(U$44*(-(50-$T79)*('Tenure Split (Mid and SW Wales)'!C$110/40))))</f>
        <v>#VALUE!</v>
      </c>
      <c r="W79" s="4" t="e">
        <f>V79*(1+'Tenure Split (Mid and SW Wales)'!D$109)+(V$44*(-(50-$T79)*('Tenure Split (Mid and SW Wales)'!D$110/40)))</f>
        <v>#VALUE!</v>
      </c>
      <c r="X79" s="4" t="e">
        <f>W79*(1+'Tenure Split (Mid and SW Wales)'!E$109)+(W$44*(-(50-$T79)*('Tenure Split (Mid and SW Wales)'!E$110/40)))</f>
        <v>#VALUE!</v>
      </c>
      <c r="Y79" s="4" t="e">
        <f>X79*(1+'Tenure Split (Mid and SW Wales)'!F$109)+(X$44*(-(50-$T79)*('Tenure Split (Mid and SW Wales)'!F$110/40)))</f>
        <v>#VALUE!</v>
      </c>
      <c r="Z79" s="4" t="e">
        <f>Y79*(1+'Tenure Split (Mid and SW Wales)'!G$109)+(Y$44*(-(50-$T79)*('Tenure Split (Mid and SW Wales)'!G$110/40)))</f>
        <v>#VALUE!</v>
      </c>
      <c r="AB79" s="1">
        <v>85</v>
      </c>
      <c r="AC79" s="4">
        <f>IF('Tenure Split (WALES)'!$D$8="WG Estimates",'Income (Mid and SW Wales)'!D79,'Income (Mid and SW Wales)'!V79)</f>
        <v>56574.194094683269</v>
      </c>
      <c r="AD79" s="4">
        <f>IF('Tenure Split (WALES)'!$D$8="WG Estimates",'Income (Mid and SW Wales)'!E79,'Income (Mid and SW Wales)'!W79)</f>
        <v>58257.266101223904</v>
      </c>
      <c r="AE79" s="4">
        <f>IF('Tenure Split (WALES)'!$D$8="WG Estimates",'Income (Mid and SW Wales)'!F79,'Income (Mid and SW Wales)'!X79)</f>
        <v>60402.63631610114</v>
      </c>
      <c r="AF79" s="4">
        <f>IF('Tenure Split (WALES)'!$D$8="WG Estimates",'Income (Mid and SW Wales)'!G79,'Income (Mid and SW Wales)'!Y79)</f>
        <v>62884.763619965452</v>
      </c>
      <c r="AG79" s="4">
        <f>IF('Tenure Split (WALES)'!$D$8="WG Estimates",'Income (Mid and SW Wales)'!H79,'Income (Mid and SW Wales)'!Z79)</f>
        <v>65529.317968969764</v>
      </c>
    </row>
    <row r="80" spans="2:33" x14ac:dyDescent="0.25">
      <c r="B80" s="20">
        <v>86</v>
      </c>
      <c r="C80" s="58">
        <v>56036</v>
      </c>
      <c r="D80" s="59">
        <f>C80*(1+'Tenure Split (Mid and SW Wales)'!C$109)+(C$44*(-(50-$B80)*('Tenure Split (Mid and SW Wales)'!C$110/40)))</f>
        <v>58245.385893835373</v>
      </c>
      <c r="E80" s="59">
        <f>D80*(1+'Tenure Split (Mid and SW Wales)'!D$109)+(D$44*(-(50-$B80)*('Tenure Split (Mid and SW Wales)'!D$110/40)))</f>
        <v>59977.954292012444</v>
      </c>
      <c r="F80" s="59">
        <f>E80*(1+'Tenure Split (Mid and SW Wales)'!E$109)+(E$44*(-(50-$B80)*('Tenure Split (Mid and SW Wales)'!E$110/40)))</f>
        <v>62186.464159831448</v>
      </c>
      <c r="G80" s="59">
        <f>F80*(1+'Tenure Split (Mid and SW Wales)'!F$109)+(F$44*(-(50-$B80)*('Tenure Split (Mid and SW Wales)'!F$110/40)))</f>
        <v>64741.661784078278</v>
      </c>
      <c r="H80" s="60">
        <f>G80*(1+'Tenure Split (Mid and SW Wales)'!G$109)+(G$44*(-(50-$B80)*('Tenure Split (Mid and SW Wales)'!G$110/40)))</f>
        <v>67464.065818034389</v>
      </c>
      <c r="L80" s="64" t="str">
        <f t="shared" si="4"/>
        <v/>
      </c>
      <c r="M80" s="251"/>
      <c r="N80" s="14">
        <f t="shared" si="7"/>
        <v>1</v>
      </c>
      <c r="T80" s="1">
        <f t="shared" si="5"/>
        <v>86</v>
      </c>
      <c r="U80" s="4" t="str">
        <f t="shared" si="6"/>
        <v/>
      </c>
      <c r="V80" s="4" t="e">
        <f>IF($V$3=$M$3,M80,U80*(1+'Tenure Split (Mid and SW Wales)'!C$109)+(U$44*(-(50-$T80)*('Tenure Split (Mid and SW Wales)'!C$110/40))))</f>
        <v>#VALUE!</v>
      </c>
      <c r="W80" s="4" t="e">
        <f>V80*(1+'Tenure Split (Mid and SW Wales)'!D$109)+(V$44*(-(50-$T80)*('Tenure Split (Mid and SW Wales)'!D$110/40)))</f>
        <v>#VALUE!</v>
      </c>
      <c r="X80" s="4" t="e">
        <f>W80*(1+'Tenure Split (Mid and SW Wales)'!E$109)+(W$44*(-(50-$T80)*('Tenure Split (Mid and SW Wales)'!E$110/40)))</f>
        <v>#VALUE!</v>
      </c>
      <c r="Y80" s="4" t="e">
        <f>X80*(1+'Tenure Split (Mid and SW Wales)'!F$109)+(X$44*(-(50-$T80)*('Tenure Split (Mid and SW Wales)'!F$110/40)))</f>
        <v>#VALUE!</v>
      </c>
      <c r="Z80" s="4" t="e">
        <f>Y80*(1+'Tenure Split (Mid and SW Wales)'!G$109)+(Y$44*(-(50-$T80)*('Tenure Split (Mid and SW Wales)'!G$110/40)))</f>
        <v>#VALUE!</v>
      </c>
      <c r="AB80" s="1">
        <v>86</v>
      </c>
      <c r="AC80" s="4">
        <f>IF('Tenure Split (WALES)'!$D$8="WG Estimates",'Income (Mid and SW Wales)'!D80,'Income (Mid and SW Wales)'!V80)</f>
        <v>58245.385893835373</v>
      </c>
      <c r="AD80" s="4">
        <f>IF('Tenure Split (WALES)'!$D$8="WG Estimates",'Income (Mid and SW Wales)'!E80,'Income (Mid and SW Wales)'!W80)</f>
        <v>59977.954292012444</v>
      </c>
      <c r="AE80" s="4">
        <f>IF('Tenure Split (WALES)'!$D$8="WG Estimates",'Income (Mid and SW Wales)'!F80,'Income (Mid and SW Wales)'!X80)</f>
        <v>62186.464159831448</v>
      </c>
      <c r="AF80" s="4">
        <f>IF('Tenure Split (WALES)'!$D$8="WG Estimates",'Income (Mid and SW Wales)'!G80,'Income (Mid and SW Wales)'!Y80)</f>
        <v>64741.661784078278</v>
      </c>
      <c r="AG80" s="4">
        <f>IF('Tenure Split (WALES)'!$D$8="WG Estimates",'Income (Mid and SW Wales)'!H80,'Income (Mid and SW Wales)'!Z80)</f>
        <v>67464.065818034389</v>
      </c>
    </row>
    <row r="81" spans="2:33" x14ac:dyDescent="0.25">
      <c r="B81" s="20">
        <v>87</v>
      </c>
      <c r="C81" s="58">
        <v>57082.7</v>
      </c>
      <c r="D81" s="59">
        <f>C81*(1+'Tenure Split (Mid and SW Wales)'!C$109)+(C$44*(-(50-$B81)*('Tenure Split (Mid and SW Wales)'!C$110/40)))</f>
        <v>59335.420379328221</v>
      </c>
      <c r="E81" s="59">
        <f>D81*(1+'Tenure Split (Mid and SW Wales)'!D$109)+(D$44*(-(50-$B81)*('Tenure Split (Mid and SW Wales)'!D$110/40)))</f>
        <v>61102.542920425542</v>
      </c>
      <c r="F81" s="59">
        <f>E81*(1+'Tenure Split (Mid and SW Wales)'!E$109)+(E$44*(-(50-$B81)*('Tenure Split (Mid and SW Wales)'!E$110/40)))</f>
        <v>63354.638580356455</v>
      </c>
      <c r="G81" s="59">
        <f>F81*(1+'Tenure Split (Mid and SW Wales)'!F$109)+(F$44*(-(50-$B81)*('Tenure Split (Mid and SW Wales)'!F$110/40)))</f>
        <v>65960.074492903965</v>
      </c>
      <c r="H81" s="60">
        <f>G81*(1+'Tenure Split (Mid and SW Wales)'!G$109)+(G$44*(-(50-$B81)*('Tenure Split (Mid and SW Wales)'!G$110/40)))</f>
        <v>68736.026035988703</v>
      </c>
      <c r="L81" s="64" t="str">
        <f t="shared" si="4"/>
        <v/>
      </c>
      <c r="M81" s="251"/>
      <c r="N81" s="14">
        <f t="shared" si="7"/>
        <v>1</v>
      </c>
      <c r="T81" s="1">
        <f t="shared" si="5"/>
        <v>87</v>
      </c>
      <c r="U81" s="4" t="str">
        <f t="shared" si="6"/>
        <v/>
      </c>
      <c r="V81" s="4" t="e">
        <f>IF($V$3=$M$3,M81,U81*(1+'Tenure Split (Mid and SW Wales)'!C$109)+(U$44*(-(50-$T81)*('Tenure Split (Mid and SW Wales)'!C$110/40))))</f>
        <v>#VALUE!</v>
      </c>
      <c r="W81" s="4" t="e">
        <f>V81*(1+'Tenure Split (Mid and SW Wales)'!D$109)+(V$44*(-(50-$T81)*('Tenure Split (Mid and SW Wales)'!D$110/40)))</f>
        <v>#VALUE!</v>
      </c>
      <c r="X81" s="4" t="e">
        <f>W81*(1+'Tenure Split (Mid and SW Wales)'!E$109)+(W$44*(-(50-$T81)*('Tenure Split (Mid and SW Wales)'!E$110/40)))</f>
        <v>#VALUE!</v>
      </c>
      <c r="Y81" s="4" t="e">
        <f>X81*(1+'Tenure Split (Mid and SW Wales)'!F$109)+(X$44*(-(50-$T81)*('Tenure Split (Mid and SW Wales)'!F$110/40)))</f>
        <v>#VALUE!</v>
      </c>
      <c r="Z81" s="4" t="e">
        <f>Y81*(1+'Tenure Split (Mid and SW Wales)'!G$109)+(Y$44*(-(50-$T81)*('Tenure Split (Mid and SW Wales)'!G$110/40)))</f>
        <v>#VALUE!</v>
      </c>
      <c r="AB81" s="1">
        <v>87</v>
      </c>
      <c r="AC81" s="4">
        <f>IF('Tenure Split (WALES)'!$D$8="WG Estimates",'Income (Mid and SW Wales)'!D81,'Income (Mid and SW Wales)'!V81)</f>
        <v>59335.420379328221</v>
      </c>
      <c r="AD81" s="4">
        <f>IF('Tenure Split (WALES)'!$D$8="WG Estimates",'Income (Mid and SW Wales)'!E81,'Income (Mid and SW Wales)'!W81)</f>
        <v>61102.542920425542</v>
      </c>
      <c r="AE81" s="4">
        <f>IF('Tenure Split (WALES)'!$D$8="WG Estimates",'Income (Mid and SW Wales)'!F81,'Income (Mid and SW Wales)'!X81)</f>
        <v>63354.638580356455</v>
      </c>
      <c r="AF81" s="4">
        <f>IF('Tenure Split (WALES)'!$D$8="WG Estimates",'Income (Mid and SW Wales)'!G81,'Income (Mid and SW Wales)'!Y81)</f>
        <v>65960.074492903965</v>
      </c>
      <c r="AG81" s="4">
        <f>IF('Tenure Split (WALES)'!$D$8="WG Estimates",'Income (Mid and SW Wales)'!H81,'Income (Mid and SW Wales)'!Z81)</f>
        <v>68736.026035988703</v>
      </c>
    </row>
    <row r="82" spans="2:33" x14ac:dyDescent="0.25">
      <c r="B82" s="20">
        <v>88</v>
      </c>
      <c r="C82" s="58">
        <v>59680.25</v>
      </c>
      <c r="D82" s="59">
        <f>C82*(1+'Tenure Split (Mid and SW Wales)'!C$109)+(C$44*(-(50-$B82)*('Tenure Split (Mid and SW Wales)'!C$110/40)))</f>
        <v>62031.16984769734</v>
      </c>
      <c r="E82" s="59">
        <f>D82*(1+'Tenure Split (Mid and SW Wales)'!D$109)+(D$44*(-(50-$B82)*('Tenure Split (Mid and SW Wales)'!D$110/40)))</f>
        <v>63874.131381922467</v>
      </c>
      <c r="F82" s="59">
        <f>E82*(1+'Tenure Split (Mid and SW Wales)'!E$109)+(E$44*(-(50-$B82)*('Tenure Split (Mid and SW Wales)'!E$110/40)))</f>
        <v>66223.839388513632</v>
      </c>
      <c r="G82" s="59">
        <f>F82*(1+'Tenure Split (Mid and SW Wales)'!F$109)+(F$44*(-(50-$B82)*('Tenure Split (Mid and SW Wales)'!F$110/40)))</f>
        <v>68942.597603176357</v>
      </c>
      <c r="H82" s="60">
        <f>G82*(1+'Tenure Split (Mid and SW Wales)'!G$109)+(G$44*(-(50-$B82)*('Tenure Split (Mid and SW Wales)'!G$110/40)))</f>
        <v>71839.24261900167</v>
      </c>
      <c r="L82" s="64" t="str">
        <f t="shared" si="4"/>
        <v/>
      </c>
      <c r="M82" s="251"/>
      <c r="N82" s="14">
        <f t="shared" si="7"/>
        <v>1</v>
      </c>
      <c r="T82" s="1">
        <f t="shared" si="5"/>
        <v>88</v>
      </c>
      <c r="U82" s="4" t="str">
        <f t="shared" si="6"/>
        <v/>
      </c>
      <c r="V82" s="4" t="e">
        <f>IF($V$3=$M$3,M82,U82*(1+'Tenure Split (Mid and SW Wales)'!C$109)+(U$44*(-(50-$T82)*('Tenure Split (Mid and SW Wales)'!C$110/40))))</f>
        <v>#VALUE!</v>
      </c>
      <c r="W82" s="4" t="e">
        <f>V82*(1+'Tenure Split (Mid and SW Wales)'!D$109)+(V$44*(-(50-$T82)*('Tenure Split (Mid and SW Wales)'!D$110/40)))</f>
        <v>#VALUE!</v>
      </c>
      <c r="X82" s="4" t="e">
        <f>W82*(1+'Tenure Split (Mid and SW Wales)'!E$109)+(W$44*(-(50-$T82)*('Tenure Split (Mid and SW Wales)'!E$110/40)))</f>
        <v>#VALUE!</v>
      </c>
      <c r="Y82" s="4" t="e">
        <f>X82*(1+'Tenure Split (Mid and SW Wales)'!F$109)+(X$44*(-(50-$T82)*('Tenure Split (Mid and SW Wales)'!F$110/40)))</f>
        <v>#VALUE!</v>
      </c>
      <c r="Z82" s="4" t="e">
        <f>Y82*(1+'Tenure Split (Mid and SW Wales)'!G$109)+(Y$44*(-(50-$T82)*('Tenure Split (Mid and SW Wales)'!G$110/40)))</f>
        <v>#VALUE!</v>
      </c>
      <c r="AB82" s="1">
        <v>88</v>
      </c>
      <c r="AC82" s="4">
        <f>IF('Tenure Split (WALES)'!$D$8="WG Estimates",'Income (Mid and SW Wales)'!D82,'Income (Mid and SW Wales)'!V82)</f>
        <v>62031.16984769734</v>
      </c>
      <c r="AD82" s="4">
        <f>IF('Tenure Split (WALES)'!$D$8="WG Estimates",'Income (Mid and SW Wales)'!E82,'Income (Mid and SW Wales)'!W82)</f>
        <v>63874.131381922467</v>
      </c>
      <c r="AE82" s="4">
        <f>IF('Tenure Split (WALES)'!$D$8="WG Estimates",'Income (Mid and SW Wales)'!F82,'Income (Mid and SW Wales)'!X82)</f>
        <v>66223.839388513632</v>
      </c>
      <c r="AF82" s="4">
        <f>IF('Tenure Split (WALES)'!$D$8="WG Estimates",'Income (Mid and SW Wales)'!G82,'Income (Mid and SW Wales)'!Y82)</f>
        <v>68942.597603176357</v>
      </c>
      <c r="AG82" s="4">
        <f>IF('Tenure Split (WALES)'!$D$8="WG Estimates",'Income (Mid and SW Wales)'!H82,'Income (Mid and SW Wales)'!Z82)</f>
        <v>71839.24261900167</v>
      </c>
    </row>
    <row r="83" spans="2:33" x14ac:dyDescent="0.25">
      <c r="B83" s="20">
        <v>89</v>
      </c>
      <c r="C83" s="58">
        <v>61738.8</v>
      </c>
      <c r="D83" s="59">
        <f>C83*(1+'Tenure Split (Mid and SW Wales)'!C$109)+(C$44*(-(50-$B83)*('Tenure Split (Mid and SW Wales)'!C$110/40)))</f>
        <v>64168.850917594456</v>
      </c>
      <c r="E83" s="59">
        <f>D83*(1+'Tenure Split (Mid and SW Wales)'!D$109)+(D$44*(-(50-$B83)*('Tenure Split (Mid and SW Wales)'!D$110/40)))</f>
        <v>66073.302839819968</v>
      </c>
      <c r="F83" s="59">
        <f>E83*(1+'Tenure Split (Mid and SW Wales)'!E$109)+(E$44*(-(50-$B83)*('Tenure Split (Mid and SW Wales)'!E$110/40)))</f>
        <v>68501.846191490578</v>
      </c>
      <c r="G83" s="59">
        <f>F83*(1+'Tenure Split (Mid and SW Wales)'!F$109)+(F$44*(-(50-$B83)*('Tenure Split (Mid and SW Wales)'!F$110/40)))</f>
        <v>71312.001774557313</v>
      </c>
      <c r="H83" s="60">
        <f>G83*(1+'Tenure Split (Mid and SW Wales)'!G$109)+(G$44*(-(50-$B83)*('Tenure Split (Mid and SW Wales)'!G$110/40)))</f>
        <v>74306.003593305461</v>
      </c>
      <c r="L83" s="64" t="str">
        <f t="shared" si="4"/>
        <v/>
      </c>
      <c r="M83" s="251"/>
      <c r="N83" s="14">
        <f t="shared" si="7"/>
        <v>1</v>
      </c>
      <c r="T83" s="1">
        <f t="shared" si="5"/>
        <v>89</v>
      </c>
      <c r="U83" s="4" t="str">
        <f t="shared" si="6"/>
        <v/>
      </c>
      <c r="V83" s="4" t="e">
        <f>IF($V$3=$M$3,M83,U83*(1+'Tenure Split (Mid and SW Wales)'!C$109)+(U$44*(-(50-$T83)*('Tenure Split (Mid and SW Wales)'!C$110/40))))</f>
        <v>#VALUE!</v>
      </c>
      <c r="W83" s="4" t="e">
        <f>V83*(1+'Tenure Split (Mid and SW Wales)'!D$109)+(V$44*(-(50-$T83)*('Tenure Split (Mid and SW Wales)'!D$110/40)))</f>
        <v>#VALUE!</v>
      </c>
      <c r="X83" s="4" t="e">
        <f>W83*(1+'Tenure Split (Mid and SW Wales)'!E$109)+(W$44*(-(50-$T83)*('Tenure Split (Mid and SW Wales)'!E$110/40)))</f>
        <v>#VALUE!</v>
      </c>
      <c r="Y83" s="4" t="e">
        <f>X83*(1+'Tenure Split (Mid and SW Wales)'!F$109)+(X$44*(-(50-$T83)*('Tenure Split (Mid and SW Wales)'!F$110/40)))</f>
        <v>#VALUE!</v>
      </c>
      <c r="Z83" s="4" t="e">
        <f>Y83*(1+'Tenure Split (Mid and SW Wales)'!G$109)+(Y$44*(-(50-$T83)*('Tenure Split (Mid and SW Wales)'!G$110/40)))</f>
        <v>#VALUE!</v>
      </c>
      <c r="AB83" s="1">
        <v>89</v>
      </c>
      <c r="AC83" s="4">
        <f>IF('Tenure Split (WALES)'!$D$8="WG Estimates",'Income (Mid and SW Wales)'!D83,'Income (Mid and SW Wales)'!V83)</f>
        <v>64168.850917594456</v>
      </c>
      <c r="AD83" s="4">
        <f>IF('Tenure Split (WALES)'!$D$8="WG Estimates",'Income (Mid and SW Wales)'!E83,'Income (Mid and SW Wales)'!W83)</f>
        <v>66073.302839819968</v>
      </c>
      <c r="AE83" s="4">
        <f>IF('Tenure Split (WALES)'!$D$8="WG Estimates",'Income (Mid and SW Wales)'!F83,'Income (Mid and SW Wales)'!X83)</f>
        <v>68501.846191490578</v>
      </c>
      <c r="AF83" s="4">
        <f>IF('Tenure Split (WALES)'!$D$8="WG Estimates",'Income (Mid and SW Wales)'!G83,'Income (Mid and SW Wales)'!Y83)</f>
        <v>71312.001774557313</v>
      </c>
      <c r="AG83" s="4">
        <f>IF('Tenure Split (WALES)'!$D$8="WG Estimates",'Income (Mid and SW Wales)'!H83,'Income (Mid and SW Wales)'!Z83)</f>
        <v>74306.003593305461</v>
      </c>
    </row>
    <row r="84" spans="2:33" x14ac:dyDescent="0.25">
      <c r="B84" s="23">
        <v>90</v>
      </c>
      <c r="C84" s="61">
        <v>63910.8</v>
      </c>
      <c r="D84" s="62">
        <f>C84*(1+'Tenure Split (Mid and SW Wales)'!C$109)+(C$44*(-(50-$B84)*('Tenure Split (Mid and SW Wales)'!C$110/40)))</f>
        <v>66423.995549284984</v>
      </c>
      <c r="E84" s="62">
        <f>D84*(1+'Tenure Split (Mid and SW Wales)'!D$109)+(D$44*(-(50-$B84)*('Tenure Split (Mid and SW Wales)'!D$110/40)))</f>
        <v>68392.95798799269</v>
      </c>
      <c r="F84" s="62">
        <f>E84*(1+'Tenure Split (Mid and SW Wales)'!E$109)+(E$44*(-(50-$B84)*('Tenure Split (Mid and SW Wales)'!E$110/40)))</f>
        <v>70904.288912626522</v>
      </c>
      <c r="G84" s="62">
        <f>F84*(1+'Tenure Split (Mid and SW Wales)'!F$109)+(F$44*(-(50-$B84)*('Tenure Split (Mid and SW Wales)'!F$110/40)))</f>
        <v>73810.456676211455</v>
      </c>
      <c r="H84" s="63">
        <f>G84*(1+'Tenure Split (Mid and SW Wales)'!G$109)+(G$44*(-(50-$B84)*('Tenure Split (Mid and SW Wales)'!G$110/40)))</f>
        <v>76906.727255564852</v>
      </c>
      <c r="L84" s="65" t="str">
        <f t="shared" si="4"/>
        <v/>
      </c>
      <c r="M84" s="253"/>
      <c r="N84" s="14">
        <f t="shared" si="7"/>
        <v>1</v>
      </c>
      <c r="T84" s="1">
        <f t="shared" si="5"/>
        <v>90</v>
      </c>
      <c r="U84" s="4" t="str">
        <f t="shared" si="6"/>
        <v/>
      </c>
      <c r="V84" s="4" t="e">
        <f>IF($V$3=$M$3,M84,U84*(1+'Tenure Split (Mid and SW Wales)'!C$109)+(U$44*(-(50-$T84)*('Tenure Split (Mid and SW Wales)'!C$110/40))))</f>
        <v>#VALUE!</v>
      </c>
      <c r="W84" s="4" t="e">
        <f>V84*(1+'Tenure Split (Mid and SW Wales)'!D$109)+(V$44*(-(50-$T84)*('Tenure Split (Mid and SW Wales)'!D$110/40)))</f>
        <v>#VALUE!</v>
      </c>
      <c r="X84" s="4" t="e">
        <f>W84*(1+'Tenure Split (Mid and SW Wales)'!E$109)+(W$44*(-(50-$T84)*('Tenure Split (Mid and SW Wales)'!E$110/40)))</f>
        <v>#VALUE!</v>
      </c>
      <c r="Y84" s="4" t="e">
        <f>X84*(1+'Tenure Split (Mid and SW Wales)'!F$109)+(X$44*(-(50-$T84)*('Tenure Split (Mid and SW Wales)'!F$110/40)))</f>
        <v>#VALUE!</v>
      </c>
      <c r="Z84" s="4" t="e">
        <f>Y84*(1+'Tenure Split (Mid and SW Wales)'!G$109)+(Y$44*(-(50-$T84)*('Tenure Split (Mid and SW Wales)'!G$110/40)))</f>
        <v>#VALUE!</v>
      </c>
      <c r="AB84" s="1">
        <v>90</v>
      </c>
      <c r="AC84" s="4">
        <f>IF('Tenure Split (WALES)'!$D$8="WG Estimates",'Income (Mid and SW Wales)'!D84,'Income (Mid and SW Wales)'!V84)</f>
        <v>66423.995549284984</v>
      </c>
      <c r="AD84" s="4">
        <f>IF('Tenure Split (WALES)'!$D$8="WG Estimates",'Income (Mid and SW Wales)'!E84,'Income (Mid and SW Wales)'!W84)</f>
        <v>68392.95798799269</v>
      </c>
      <c r="AE84" s="4">
        <f>IF('Tenure Split (WALES)'!$D$8="WG Estimates",'Income (Mid and SW Wales)'!F84,'Income (Mid and SW Wales)'!X84)</f>
        <v>70904.288912626522</v>
      </c>
      <c r="AF84" s="4">
        <f>IF('Tenure Split (WALES)'!$D$8="WG Estimates",'Income (Mid and SW Wales)'!G84,'Income (Mid and SW Wales)'!Y84)</f>
        <v>73810.456676211455</v>
      </c>
      <c r="AG84" s="4">
        <f>IF('Tenure Split (WALES)'!$D$8="WG Estimates",'Income (Mid and SW Wales)'!H84,'Income (Mid and SW Wales)'!Z84)</f>
        <v>76906.727255564852</v>
      </c>
    </row>
    <row r="85" spans="2:33" x14ac:dyDescent="0.25">
      <c r="N85" s="14">
        <f>IF(SUM(N4:N84)&gt;0,1,0)</f>
        <v>1</v>
      </c>
    </row>
  </sheetData>
  <sheetProtection sheet="1" objects="1" scenarios="1"/>
  <mergeCells count="3">
    <mergeCell ref="B2:H2"/>
    <mergeCell ref="J2:M2"/>
    <mergeCell ref="J9:J10"/>
  </mergeCells>
  <dataValidations count="2">
    <dataValidation type="list" allowBlank="1" showInputMessage="1" showErrorMessage="1" sqref="K4">
      <formula1>"2017,2018"</formula1>
    </dataValidation>
    <dataValidation type="decimal" operator="greaterThan" allowBlank="1" showInputMessage="1" showErrorMessage="1" sqref="M4:M84">
      <formula1>0</formula1>
    </dataValidation>
  </dataValidation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0"/>
  <sheetViews>
    <sheetView showGridLines="0" zoomScale="70" zoomScaleNormal="70" workbookViewId="0"/>
  </sheetViews>
  <sheetFormatPr defaultRowHeight="15" x14ac:dyDescent="0.25"/>
  <cols>
    <col min="1" max="1" width="2" customWidth="1"/>
    <col min="2" max="2" width="32.85546875" customWidth="1"/>
    <col min="3" max="3" width="41.5703125" customWidth="1"/>
    <col min="4" max="4" width="74.140625" customWidth="1"/>
    <col min="5" max="5" width="62.28515625" customWidth="1"/>
    <col min="6" max="6" width="58.5703125" style="274" customWidth="1"/>
    <col min="7" max="7" width="46" style="277" customWidth="1"/>
  </cols>
  <sheetData>
    <row r="1" spans="2:7" s="1" customFormat="1" ht="23.25" x14ac:dyDescent="0.35">
      <c r="B1" s="185" t="s">
        <v>214</v>
      </c>
      <c r="F1" s="274"/>
      <c r="G1" s="277"/>
    </row>
    <row r="2" spans="2:7" s="1" customFormat="1" x14ac:dyDescent="0.25">
      <c r="B2" s="343" t="s">
        <v>213</v>
      </c>
      <c r="C2" s="344"/>
      <c r="F2" s="274"/>
      <c r="G2" s="277"/>
    </row>
    <row r="3" spans="2:7" x14ac:dyDescent="0.25">
      <c r="B3" s="345"/>
      <c r="C3" s="346"/>
    </row>
    <row r="6" spans="2:7" ht="18.75" x14ac:dyDescent="0.3">
      <c r="B6" s="3"/>
      <c r="C6" s="212" t="s">
        <v>42</v>
      </c>
      <c r="D6" s="213" t="s">
        <v>184</v>
      </c>
      <c r="E6" s="213" t="s">
        <v>185</v>
      </c>
      <c r="F6" s="283" t="s">
        <v>186</v>
      </c>
      <c r="G6" s="275" t="s">
        <v>303</v>
      </c>
    </row>
    <row r="7" spans="2:7" s="197" customFormat="1" ht="18.75" customHeight="1" x14ac:dyDescent="0.25">
      <c r="B7" s="336" t="s">
        <v>183</v>
      </c>
      <c r="C7" s="349" t="s">
        <v>107</v>
      </c>
      <c r="D7" s="350"/>
      <c r="E7" s="350"/>
      <c r="F7" s="350"/>
      <c r="G7" s="351"/>
    </row>
    <row r="8" spans="2:7" s="197" customFormat="1" ht="150" x14ac:dyDescent="0.25">
      <c r="B8" s="337"/>
      <c r="C8" s="198" t="s">
        <v>52</v>
      </c>
      <c r="D8" s="199" t="s">
        <v>285</v>
      </c>
      <c r="E8" s="199" t="s">
        <v>278</v>
      </c>
      <c r="F8" s="284" t="s">
        <v>187</v>
      </c>
      <c r="G8" s="285" t="s">
        <v>304</v>
      </c>
    </row>
    <row r="9" spans="2:7" s="197" customFormat="1" ht="105" x14ac:dyDescent="0.25">
      <c r="B9" s="337"/>
      <c r="C9" s="200" t="s">
        <v>23</v>
      </c>
      <c r="D9" s="201" t="s">
        <v>189</v>
      </c>
      <c r="E9" s="201" t="s">
        <v>190</v>
      </c>
      <c r="F9" s="202" t="s">
        <v>191</v>
      </c>
      <c r="G9" s="286" t="s">
        <v>328</v>
      </c>
    </row>
    <row r="10" spans="2:7" s="197" customFormat="1" ht="75" x14ac:dyDescent="0.25">
      <c r="B10" s="337"/>
      <c r="C10" s="200" t="s">
        <v>157</v>
      </c>
      <c r="D10" s="201" t="s">
        <v>193</v>
      </c>
      <c r="E10" s="201" t="s">
        <v>192</v>
      </c>
      <c r="F10" s="202"/>
      <c r="G10" s="286"/>
    </row>
    <row r="11" spans="2:7" s="197" customFormat="1" ht="90" x14ac:dyDescent="0.25">
      <c r="B11" s="337"/>
      <c r="C11" s="203" t="s">
        <v>158</v>
      </c>
      <c r="D11" s="204" t="s">
        <v>194</v>
      </c>
      <c r="E11" s="204" t="s">
        <v>195</v>
      </c>
      <c r="F11" s="287" t="s">
        <v>196</v>
      </c>
      <c r="G11" s="288" t="s">
        <v>305</v>
      </c>
    </row>
    <row r="12" spans="2:7" s="197" customFormat="1" ht="18.75" x14ac:dyDescent="0.25">
      <c r="B12" s="338"/>
      <c r="C12" s="349" t="s">
        <v>299</v>
      </c>
      <c r="D12" s="350"/>
      <c r="E12" s="350"/>
      <c r="F12" s="350"/>
      <c r="G12" s="351"/>
    </row>
    <row r="13" spans="2:7" s="197" customFormat="1" ht="136.5" customHeight="1" x14ac:dyDescent="0.25">
      <c r="B13" s="337"/>
      <c r="C13" s="289" t="s">
        <v>166</v>
      </c>
      <c r="D13" s="199" t="s">
        <v>282</v>
      </c>
      <c r="E13" s="290" t="s">
        <v>327</v>
      </c>
      <c r="F13" s="290"/>
      <c r="G13" s="285"/>
    </row>
    <row r="14" spans="2:7" s="197" customFormat="1" ht="60" x14ac:dyDescent="0.25">
      <c r="B14" s="337"/>
      <c r="C14" s="203" t="s">
        <v>160</v>
      </c>
      <c r="D14" s="204" t="s">
        <v>197</v>
      </c>
      <c r="E14" s="205" t="s">
        <v>198</v>
      </c>
      <c r="F14" s="287" t="s">
        <v>188</v>
      </c>
      <c r="G14" s="291"/>
    </row>
    <row r="15" spans="2:7" s="197" customFormat="1" ht="18.75" x14ac:dyDescent="0.25">
      <c r="B15" s="338"/>
      <c r="C15" s="349" t="s">
        <v>108</v>
      </c>
      <c r="D15" s="350"/>
      <c r="E15" s="350"/>
      <c r="F15" s="350"/>
      <c r="G15" s="351"/>
    </row>
    <row r="16" spans="2:7" s="197" customFormat="1" ht="75.75" customHeight="1" x14ac:dyDescent="0.25">
      <c r="B16" s="337"/>
      <c r="C16" s="289" t="s">
        <v>57</v>
      </c>
      <c r="D16" s="292" t="s">
        <v>199</v>
      </c>
      <c r="E16" s="293" t="s">
        <v>292</v>
      </c>
      <c r="F16" s="294" t="s">
        <v>295</v>
      </c>
      <c r="G16" s="285" t="s">
        <v>307</v>
      </c>
    </row>
    <row r="17" spans="2:7" s="197" customFormat="1" ht="74.25" customHeight="1" x14ac:dyDescent="0.25">
      <c r="B17" s="337"/>
      <c r="C17" s="200" t="s">
        <v>58</v>
      </c>
      <c r="D17" s="206" t="s">
        <v>201</v>
      </c>
      <c r="E17" s="201" t="s">
        <v>293</v>
      </c>
      <c r="F17" s="202"/>
      <c r="G17" s="286"/>
    </row>
    <row r="18" spans="2:7" s="197" customFormat="1" ht="90" x14ac:dyDescent="0.25">
      <c r="B18" s="337"/>
      <c r="C18" s="203" t="s">
        <v>60</v>
      </c>
      <c r="D18" s="207" t="s">
        <v>200</v>
      </c>
      <c r="E18" s="205" t="s">
        <v>294</v>
      </c>
      <c r="F18" s="295" t="s">
        <v>202</v>
      </c>
      <c r="G18" s="291" t="s">
        <v>307</v>
      </c>
    </row>
    <row r="19" spans="2:7" s="197" customFormat="1" ht="18.75" x14ac:dyDescent="0.25">
      <c r="B19" s="339" t="s">
        <v>325</v>
      </c>
      <c r="C19" s="347" t="s">
        <v>109</v>
      </c>
      <c r="D19" s="348"/>
      <c r="E19" s="348"/>
      <c r="F19" s="348"/>
      <c r="G19" s="352"/>
    </row>
    <row r="20" spans="2:7" s="197" customFormat="1" ht="30" x14ac:dyDescent="0.25">
      <c r="B20" s="340"/>
      <c r="C20" s="296" t="s">
        <v>54</v>
      </c>
      <c r="D20" s="297" t="s">
        <v>203</v>
      </c>
      <c r="E20" s="297" t="s">
        <v>279</v>
      </c>
      <c r="F20" s="297" t="s">
        <v>283</v>
      </c>
      <c r="G20" s="300" t="s">
        <v>306</v>
      </c>
    </row>
    <row r="21" spans="2:7" s="197" customFormat="1" ht="18.75" x14ac:dyDescent="0.25">
      <c r="B21" s="341"/>
      <c r="C21" s="347" t="s">
        <v>110</v>
      </c>
      <c r="D21" s="348"/>
      <c r="E21" s="348"/>
      <c r="F21" s="348"/>
      <c r="G21" s="348"/>
    </row>
    <row r="22" spans="2:7" s="197" customFormat="1" ht="45" x14ac:dyDescent="0.25">
      <c r="B22" s="340"/>
      <c r="C22" s="208" t="s">
        <v>300</v>
      </c>
      <c r="D22" s="209" t="s">
        <v>204</v>
      </c>
      <c r="E22" s="209" t="s">
        <v>205</v>
      </c>
      <c r="F22" s="209" t="s">
        <v>296</v>
      </c>
      <c r="G22" s="301"/>
    </row>
    <row r="23" spans="2:7" s="197" customFormat="1" ht="53.25" customHeight="1" x14ac:dyDescent="0.25">
      <c r="B23" s="340"/>
      <c r="C23" s="210" t="s">
        <v>45</v>
      </c>
      <c r="D23" s="211" t="s">
        <v>206</v>
      </c>
      <c r="E23" s="211" t="s">
        <v>207</v>
      </c>
      <c r="F23" s="211"/>
      <c r="G23" s="302"/>
    </row>
    <row r="24" spans="2:7" s="197" customFormat="1" ht="56.25" customHeight="1" x14ac:dyDescent="0.25">
      <c r="B24" s="340"/>
      <c r="C24" s="210" t="s">
        <v>162</v>
      </c>
      <c r="D24" s="211" t="s">
        <v>208</v>
      </c>
      <c r="E24" s="211" t="s">
        <v>212</v>
      </c>
      <c r="F24" s="211"/>
      <c r="G24" s="302" t="s">
        <v>308</v>
      </c>
    </row>
    <row r="25" spans="2:7" s="197" customFormat="1" ht="125.25" customHeight="1" x14ac:dyDescent="0.25">
      <c r="B25" s="340"/>
      <c r="C25" s="210" t="s">
        <v>167</v>
      </c>
      <c r="D25" s="211" t="s">
        <v>209</v>
      </c>
      <c r="E25" s="298" t="s">
        <v>309</v>
      </c>
      <c r="F25" s="211"/>
      <c r="G25" s="302"/>
    </row>
    <row r="26" spans="2:7" s="197" customFormat="1" ht="18.75" x14ac:dyDescent="0.25">
      <c r="B26" s="340"/>
      <c r="C26" s="347" t="s">
        <v>111</v>
      </c>
      <c r="D26" s="348"/>
      <c r="E26" s="348"/>
      <c r="F26" s="348"/>
      <c r="G26" s="301"/>
    </row>
    <row r="27" spans="2:7" s="197" customFormat="1" ht="45" x14ac:dyDescent="0.25">
      <c r="B27" s="342"/>
      <c r="C27" s="296" t="s">
        <v>59</v>
      </c>
      <c r="D27" s="299" t="s">
        <v>210</v>
      </c>
      <c r="E27" s="297" t="s">
        <v>211</v>
      </c>
      <c r="F27" s="297" t="s">
        <v>296</v>
      </c>
      <c r="G27" s="303" t="s">
        <v>307</v>
      </c>
    </row>
    <row r="30" spans="2:7" x14ac:dyDescent="0.25">
      <c r="E30" s="8"/>
    </row>
  </sheetData>
  <sheetProtection sheet="1" objects="1" scenarios="1"/>
  <mergeCells count="9">
    <mergeCell ref="B7:B18"/>
    <mergeCell ref="B19:B27"/>
    <mergeCell ref="B2:C3"/>
    <mergeCell ref="C26:F26"/>
    <mergeCell ref="C7:G7"/>
    <mergeCell ref="C12:G12"/>
    <mergeCell ref="C15:G15"/>
    <mergeCell ref="C19:G19"/>
    <mergeCell ref="C21:G21"/>
  </mergeCells>
  <hyperlinks>
    <hyperlink ref="F8" r:id="rId1"/>
    <hyperlink ref="F11" r:id="rId2"/>
    <hyperlink ref="F14" r:id="rId3"/>
    <hyperlink ref="F18" r:id="rId4" display="https://obr.uk/download/march-2019-economic-and-fiscal-outlook-supplementary-economy-tables"/>
    <hyperlink ref="F16" r:id="rId5" display="https://obr.uk/download/march-2019-economic-and-fiscal-outlook-supplementary-economy-tables"/>
  </hyperlinks>
  <pageMargins left="0.7" right="0.7" top="0.75" bottom="0.75" header="0.3" footer="0.3"/>
  <pageSetup paperSize="9" orientation="portrait" horizontalDpi="300" verticalDpi="300" r:id="rId6"/>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85"/>
  <sheetViews>
    <sheetView showGridLines="0" workbookViewId="0"/>
  </sheetViews>
  <sheetFormatPr defaultColWidth="9.140625" defaultRowHeight="15" x14ac:dyDescent="0.25"/>
  <cols>
    <col min="1" max="1" width="2.140625" style="1" customWidth="1"/>
    <col min="2" max="2" width="10.140625" style="1" bestFit="1" customWidth="1"/>
    <col min="3" max="3" width="9.140625" style="1"/>
    <col min="4" max="8" width="10.140625" style="1" bestFit="1" customWidth="1"/>
    <col min="9" max="9" width="9.140625" style="1"/>
    <col min="10" max="10" width="53.85546875" style="1" customWidth="1"/>
    <col min="11" max="11" width="9.140625" style="1"/>
    <col min="12" max="12" width="10.140625" style="1" customWidth="1"/>
    <col min="13" max="13" width="9.140625" style="1"/>
    <col min="14" max="14" width="9.140625" style="1" hidden="1" customWidth="1"/>
    <col min="15" max="18" width="9.140625" style="1"/>
    <col min="19" max="19" width="0" style="1" hidden="1" customWidth="1"/>
    <col min="20" max="20" width="9.140625" style="1" hidden="1" customWidth="1"/>
    <col min="21" max="26" width="10.140625" style="1" hidden="1" customWidth="1"/>
    <col min="27" max="27" width="9.140625" style="1" hidden="1" customWidth="1"/>
    <col min="28" max="28" width="9.140625" style="1" customWidth="1"/>
    <col min="29" max="29" width="10.140625" style="1" customWidth="1"/>
    <col min="30" max="33" width="9.140625" style="1" customWidth="1"/>
    <col min="34" max="16384" width="9.140625" style="1"/>
  </cols>
  <sheetData>
    <row r="1" spans="2:33" ht="9.75" customHeight="1" x14ac:dyDescent="0.25"/>
    <row r="2" spans="2:33" ht="26.25" customHeight="1" x14ac:dyDescent="0.25">
      <c r="B2" s="430" t="s">
        <v>178</v>
      </c>
      <c r="C2" s="431"/>
      <c r="D2" s="431"/>
      <c r="E2" s="431"/>
      <c r="F2" s="431"/>
      <c r="G2" s="431"/>
      <c r="H2" s="432"/>
      <c r="J2" s="433" t="s">
        <v>179</v>
      </c>
      <c r="K2" s="434"/>
      <c r="L2" s="434"/>
      <c r="M2" s="435"/>
      <c r="N2" s="67"/>
      <c r="U2" s="1" t="s">
        <v>48</v>
      </c>
      <c r="AB2" s="1" t="s">
        <v>81</v>
      </c>
    </row>
    <row r="3" spans="2:33" x14ac:dyDescent="0.25">
      <c r="B3" s="34" t="s">
        <v>46</v>
      </c>
      <c r="C3" s="35">
        <v>2017</v>
      </c>
      <c r="D3" s="35">
        <v>2018</v>
      </c>
      <c r="E3" s="35">
        <v>2019</v>
      </c>
      <c r="F3" s="35">
        <v>2020</v>
      </c>
      <c r="G3" s="35">
        <v>2021</v>
      </c>
      <c r="H3" s="57">
        <v>2022</v>
      </c>
      <c r="L3" s="34" t="s">
        <v>46</v>
      </c>
      <c r="M3" s="66">
        <f>K4</f>
        <v>0</v>
      </c>
      <c r="N3" s="68" t="s">
        <v>80</v>
      </c>
      <c r="U3" s="1">
        <v>2017</v>
      </c>
      <c r="V3" s="1">
        <v>2018</v>
      </c>
      <c r="W3" s="1">
        <v>2019</v>
      </c>
      <c r="X3" s="1">
        <v>2020</v>
      </c>
      <c r="Y3" s="1">
        <v>2021</v>
      </c>
      <c r="Z3" s="1">
        <v>2022</v>
      </c>
      <c r="AC3" s="1">
        <v>2018</v>
      </c>
      <c r="AD3" s="1">
        <v>2019</v>
      </c>
      <c r="AE3" s="1">
        <v>2020</v>
      </c>
      <c r="AF3" s="1">
        <v>2021</v>
      </c>
      <c r="AG3" s="1">
        <v>2022</v>
      </c>
    </row>
    <row r="4" spans="2:33" x14ac:dyDescent="0.25">
      <c r="B4" s="20">
        <v>10</v>
      </c>
      <c r="C4" s="59">
        <v>11681</v>
      </c>
      <c r="D4" s="59">
        <f>C4*(1+'Tenure Split (SE Wales)'!C$109)+(C$44*(-(50-$B4)*('Tenure Split (SE Wales)'!C$110/40)))</f>
        <v>11831.444973193857</v>
      </c>
      <c r="E4" s="59">
        <f>D4*(1+'Tenure Split (SE Wales)'!D$109)+(D$44*(-(50-$B4)*('Tenure Split (SE Wales)'!D$110/40)))</f>
        <v>11863.550455752405</v>
      </c>
      <c r="F4" s="59">
        <f>E4*(1+'Tenure Split (SE Wales)'!E$109)+(E$44*(-(50-$B4)*('Tenure Split (SE Wales)'!E$110/40)))</f>
        <v>11973.619648193326</v>
      </c>
      <c r="G4" s="59">
        <f>F4*(1+'Tenure Split (SE Wales)'!F$109)+(F$44*(-(50-$B4)*('Tenure Split (SE Wales)'!F$110/40)))</f>
        <v>12129.425525926945</v>
      </c>
      <c r="H4" s="60">
        <f>G4*(1+'Tenure Split (SE Wales)'!G$109)+(G$44*(-(50-$B4)*('Tenure Split (SE Wales)'!G$110/40)))</f>
        <v>12292.162561567004</v>
      </c>
      <c r="I4" s="4"/>
      <c r="J4" s="69" t="str">
        <f>IF('Tenure Split (WALES)'!D8="Other","Choose what year of data you would like to enter:","")</f>
        <v/>
      </c>
      <c r="K4" s="263"/>
      <c r="L4" s="64" t="str">
        <f t="shared" ref="L4:L67" si="0">IF(ISBLANK($K$4),"",B4)</f>
        <v/>
      </c>
      <c r="M4" s="251"/>
      <c r="N4" s="14">
        <f>IF(ISBLANK(M4),1,0)</f>
        <v>1</v>
      </c>
      <c r="O4" s="11" t="str">
        <f>IF(J4="","","&lt;&lt; Enter each percentile data here.")</f>
        <v/>
      </c>
      <c r="T4" s="1">
        <f t="shared" ref="T4:T67" si="1">B4</f>
        <v>10</v>
      </c>
      <c r="U4" s="4" t="str">
        <f t="shared" ref="U4:U67" si="2">IF($M$3=$U$3,M4,"")</f>
        <v/>
      </c>
      <c r="V4" s="59" t="e">
        <f>IF($K$4=$V$3,M4,U4*(1+'Tenure Split (SE Wales)'!C$109)+(U$44*(-(50-$B4)*('Tenure Split (SE Wales)'!C$110/40))))</f>
        <v>#VALUE!</v>
      </c>
      <c r="W4" s="59" t="e">
        <f>V4*(1+'Tenure Split (SE Wales)'!D$109)+(V$44*(-(50-$B4)*('Tenure Split (SE Wales)'!D$110/40)))</f>
        <v>#VALUE!</v>
      </c>
      <c r="X4" s="59" t="e">
        <f>W4*(1+'Tenure Split (SE Wales)'!E$109)+(W$44*(-(50-$B4)*('Tenure Split (SE Wales)'!E$110/40)))</f>
        <v>#VALUE!</v>
      </c>
      <c r="Y4" s="59" t="e">
        <f>X4*(1+'Tenure Split (SE Wales)'!F$109)+(X$44*(-(50-$B4)*('Tenure Split (SE Wales)'!F$110/40)))</f>
        <v>#VALUE!</v>
      </c>
      <c r="Z4" s="59" t="e">
        <f>Y4*(1+'Tenure Split (SE Wales)'!G$109)+(Y$44*(-(50-$B4)*('Tenure Split (SE Wales)'!G$110/40)))</f>
        <v>#VALUE!</v>
      </c>
      <c r="AB4" s="1">
        <v>10</v>
      </c>
      <c r="AC4" s="4">
        <f>IF('Tenure Split (WALES)'!$D$8="WG Estimates",'Income (SE Wales)'!D4,'Income (SE Wales)'!V4)</f>
        <v>11831.444973193857</v>
      </c>
      <c r="AD4" s="4">
        <f>IF('Tenure Split (WALES)'!$D$8="WG Estimates",'Income (SE Wales)'!E4,'Income (SE Wales)'!W4)</f>
        <v>11863.550455752405</v>
      </c>
      <c r="AE4" s="4">
        <f>IF('Tenure Split (WALES)'!$D$8="WG Estimates",'Income (SE Wales)'!F4,'Income (SE Wales)'!X4)</f>
        <v>11973.619648193326</v>
      </c>
      <c r="AF4" s="4">
        <f>IF('Tenure Split (WALES)'!$D$8="WG Estimates",'Income (SE Wales)'!G4,'Income (SE Wales)'!Y4)</f>
        <v>12129.425525926945</v>
      </c>
      <c r="AG4" s="4">
        <f>IF('Tenure Split (WALES)'!$D$8="WG Estimates",'Income (SE Wales)'!H4,'Income (SE Wales)'!Z4)</f>
        <v>12292.162561567004</v>
      </c>
    </row>
    <row r="5" spans="2:33" x14ac:dyDescent="0.25">
      <c r="B5" s="20">
        <v>11</v>
      </c>
      <c r="C5" s="59">
        <v>12315.5</v>
      </c>
      <c r="D5" s="59">
        <f>C5*(1+'Tenure Split (SE Wales)'!C$109)+(C$44*(-(50-$B5)*('Tenure Split (SE Wales)'!C$110/40)))</f>
        <v>12494.961859799585</v>
      </c>
      <c r="E5" s="59">
        <f>D5*(1+'Tenure Split (SE Wales)'!D$109)+(D$44*(-(50-$B5)*('Tenure Split (SE Wales)'!D$110/40)))</f>
        <v>12550.929531575597</v>
      </c>
      <c r="F5" s="59">
        <f>E5*(1+'Tenure Split (SE Wales)'!E$109)+(E$44*(-(50-$B5)*('Tenure Split (SE Wales)'!E$110/40)))</f>
        <v>12690.524102535046</v>
      </c>
      <c r="G5" s="59">
        <f>F5*(1+'Tenure Split (SE Wales)'!F$109)+(F$44*(-(50-$B5)*('Tenure Split (SE Wales)'!F$110/40)))</f>
        <v>12880.123143541992</v>
      </c>
      <c r="H5" s="60">
        <f>G5*(1+'Tenure Split (SE Wales)'!G$109)+(G$44*(-(50-$B5)*('Tenure Split (SE Wales)'!G$110/40)))</f>
        <v>13078.906795968016</v>
      </c>
      <c r="J5" s="70" t="str">
        <f>IF(J4="","","You only need to enter one year of data (either 2017 or 2018)")</f>
        <v/>
      </c>
      <c r="L5" s="64" t="str">
        <f t="shared" si="0"/>
        <v/>
      </c>
      <c r="M5" s="251"/>
      <c r="N5" s="14">
        <f t="shared" ref="N5:N68" si="3">IF(ISBLANK(M5),1,0)</f>
        <v>1</v>
      </c>
      <c r="T5" s="1">
        <f t="shared" si="1"/>
        <v>11</v>
      </c>
      <c r="U5" s="4" t="str">
        <f t="shared" si="2"/>
        <v/>
      </c>
      <c r="V5" s="59" t="e">
        <f>IF($K$4=$V$3,M5,U5*(1+'Tenure Split (SE Wales)'!C$109)+(U$44*(-(50-$B5)*('Tenure Split (SE Wales)'!C$110/40))))</f>
        <v>#VALUE!</v>
      </c>
      <c r="W5" s="59" t="e">
        <f>V5*(1+'Tenure Split (SE Wales)'!D$109)+(V$44*(-(50-$B5)*('Tenure Split (SE Wales)'!D$110/40)))</f>
        <v>#VALUE!</v>
      </c>
      <c r="X5" s="59" t="e">
        <f>W5*(1+'Tenure Split (SE Wales)'!E$109)+(W$44*(-(50-$B5)*('Tenure Split (SE Wales)'!E$110/40)))</f>
        <v>#VALUE!</v>
      </c>
      <c r="Y5" s="59" t="e">
        <f>X5*(1+'Tenure Split (SE Wales)'!F$109)+(X$44*(-(50-$B5)*('Tenure Split (SE Wales)'!F$110/40)))</f>
        <v>#VALUE!</v>
      </c>
      <c r="Z5" s="59" t="e">
        <f>Y5*(1+'Tenure Split (SE Wales)'!G$109)+(Y$44*(-(50-$B5)*('Tenure Split (SE Wales)'!G$110/40)))</f>
        <v>#VALUE!</v>
      </c>
      <c r="AB5" s="1">
        <v>11</v>
      </c>
      <c r="AC5" s="4">
        <f>IF('Tenure Split (WALES)'!$D$8="WG Estimates",'Income (SE Wales)'!D5,'Income (SE Wales)'!V5)</f>
        <v>12494.961859799585</v>
      </c>
      <c r="AD5" s="4">
        <f>IF('Tenure Split (WALES)'!$D$8="WG Estimates",'Income (SE Wales)'!E5,'Income (SE Wales)'!W5)</f>
        <v>12550.929531575597</v>
      </c>
      <c r="AE5" s="4">
        <f>IF('Tenure Split (WALES)'!$D$8="WG Estimates",'Income (SE Wales)'!F5,'Income (SE Wales)'!X5)</f>
        <v>12690.524102535046</v>
      </c>
      <c r="AF5" s="4">
        <f>IF('Tenure Split (WALES)'!$D$8="WG Estimates",'Income (SE Wales)'!G5,'Income (SE Wales)'!Y5)</f>
        <v>12880.123143541992</v>
      </c>
      <c r="AG5" s="4">
        <f>IF('Tenure Split (WALES)'!$D$8="WG Estimates",'Income (SE Wales)'!H5,'Income (SE Wales)'!Z5)</f>
        <v>13078.906795968016</v>
      </c>
    </row>
    <row r="6" spans="2:33" x14ac:dyDescent="0.25">
      <c r="B6" s="20">
        <v>12</v>
      </c>
      <c r="C6" s="59">
        <v>12740</v>
      </c>
      <c r="D6" s="59">
        <f>C6*(1+'Tenure Split (SE Wales)'!C$109)+(C$44*(-(50-$B6)*('Tenure Split (SE Wales)'!C$110/40)))</f>
        <v>12941.049500247387</v>
      </c>
      <c r="E6" s="59">
        <f>D6*(1+'Tenure Split (SE Wales)'!D$109)+(D$44*(-(50-$B6)*('Tenure Split (SE Wales)'!D$110/40)))</f>
        <v>13015.288995606799</v>
      </c>
      <c r="F6" s="59">
        <f>E6*(1+'Tenure Split (SE Wales)'!E$109)+(E$44*(-(50-$B6)*('Tenure Split (SE Wales)'!E$110/40)))</f>
        <v>13177.093230183178</v>
      </c>
      <c r="G6" s="59">
        <f>F6*(1+'Tenure Split (SE Wales)'!F$109)+(F$44*(-(50-$B6)*('Tenure Split (SE Wales)'!F$110/40)))</f>
        <v>13391.943252498044</v>
      </c>
      <c r="H6" s="60">
        <f>G6*(1+'Tenure Split (SE Wales)'!G$109)+(G$44*(-(50-$B6)*('Tenure Split (SE Wales)'!G$110/40)))</f>
        <v>13617.681312690131</v>
      </c>
      <c r="L6" s="64" t="str">
        <f t="shared" si="0"/>
        <v/>
      </c>
      <c r="M6" s="251"/>
      <c r="N6" s="14">
        <f t="shared" si="3"/>
        <v>1</v>
      </c>
      <c r="T6" s="1">
        <f t="shared" si="1"/>
        <v>12</v>
      </c>
      <c r="U6" s="4" t="str">
        <f t="shared" si="2"/>
        <v/>
      </c>
      <c r="V6" s="59" t="e">
        <f>IF($K$4=$V$3,M6,U6*(1+'Tenure Split (SE Wales)'!C$109)+(U$44*(-(50-$B6)*('Tenure Split (SE Wales)'!C$110/40))))</f>
        <v>#VALUE!</v>
      </c>
      <c r="W6" s="59" t="e">
        <f>V6*(1+'Tenure Split (SE Wales)'!D$109)+(V$44*(-(50-$B6)*('Tenure Split (SE Wales)'!D$110/40)))</f>
        <v>#VALUE!</v>
      </c>
      <c r="X6" s="59" t="e">
        <f>W6*(1+'Tenure Split (SE Wales)'!E$109)+(W$44*(-(50-$B6)*('Tenure Split (SE Wales)'!E$110/40)))</f>
        <v>#VALUE!</v>
      </c>
      <c r="Y6" s="59" t="e">
        <f>X6*(1+'Tenure Split (SE Wales)'!F$109)+(X$44*(-(50-$B6)*('Tenure Split (SE Wales)'!F$110/40)))</f>
        <v>#VALUE!</v>
      </c>
      <c r="Z6" s="59" t="e">
        <f>Y6*(1+'Tenure Split (SE Wales)'!G$109)+(Y$44*(-(50-$B6)*('Tenure Split (SE Wales)'!G$110/40)))</f>
        <v>#VALUE!</v>
      </c>
      <c r="AB6" s="1">
        <v>12</v>
      </c>
      <c r="AC6" s="4">
        <f>IF('Tenure Split (WALES)'!$D$8="WG Estimates",'Income (SE Wales)'!D6,'Income (SE Wales)'!V6)</f>
        <v>12941.049500247387</v>
      </c>
      <c r="AD6" s="4">
        <f>IF('Tenure Split (WALES)'!$D$8="WG Estimates",'Income (SE Wales)'!E6,'Income (SE Wales)'!W6)</f>
        <v>13015.288995606799</v>
      </c>
      <c r="AE6" s="4">
        <f>IF('Tenure Split (WALES)'!$D$8="WG Estimates",'Income (SE Wales)'!F6,'Income (SE Wales)'!X6)</f>
        <v>13177.093230183178</v>
      </c>
      <c r="AF6" s="4">
        <f>IF('Tenure Split (WALES)'!$D$8="WG Estimates",'Income (SE Wales)'!G6,'Income (SE Wales)'!Y6)</f>
        <v>13391.943252498044</v>
      </c>
      <c r="AG6" s="4">
        <f>IF('Tenure Split (WALES)'!$D$8="WG Estimates",'Income (SE Wales)'!H6,'Income (SE Wales)'!Z6)</f>
        <v>13617.681312690131</v>
      </c>
    </row>
    <row r="7" spans="2:33" x14ac:dyDescent="0.25">
      <c r="B7" s="20">
        <v>13</v>
      </c>
      <c r="C7" s="59">
        <v>12919.2</v>
      </c>
      <c r="D7" s="59">
        <f>C7*(1+'Tenure Split (SE Wales)'!C$109)+(C$44*(-(50-$B7)*('Tenure Split (SE Wales)'!C$110/40)))</f>
        <v>13133.159073635485</v>
      </c>
      <c r="E7" s="59">
        <f>D7*(1+'Tenure Split (SE Wales)'!D$109)+(D$44*(-(50-$B7)*('Tenure Split (SE Wales)'!D$110/40)))</f>
        <v>13219.140313101938</v>
      </c>
      <c r="F7" s="59">
        <f>E7*(1+'Tenure Split (SE Wales)'!E$109)+(E$44*(-(50-$B7)*('Tenure Split (SE Wales)'!E$110/40)))</f>
        <v>13394.608759555422</v>
      </c>
      <c r="G7" s="59">
        <f>F7*(1+'Tenure Split (SE Wales)'!F$109)+(F$44*(-(50-$B7)*('Tenure Split (SE Wales)'!F$110/40)))</f>
        <v>13624.73168110147</v>
      </c>
      <c r="H7" s="60">
        <f>G7*(1+'Tenure Split (SE Wales)'!G$109)+(G$44*(-(50-$B7)*('Tenure Split (SE Wales)'!G$110/40)))</f>
        <v>13866.80358299971</v>
      </c>
      <c r="J7" s="11" t="str">
        <f>IF(J4="","",IF(N85=1,"User input not yet complete",IF(N85=0,"User input complete","")))</f>
        <v/>
      </c>
      <c r="L7" s="64" t="str">
        <f t="shared" si="0"/>
        <v/>
      </c>
      <c r="M7" s="251"/>
      <c r="N7" s="14">
        <f t="shared" si="3"/>
        <v>1</v>
      </c>
      <c r="T7" s="1">
        <f t="shared" si="1"/>
        <v>13</v>
      </c>
      <c r="U7" s="4" t="str">
        <f t="shared" si="2"/>
        <v/>
      </c>
      <c r="V7" s="59" t="e">
        <f>IF($K$4=$V$3,M7,U7*(1+'Tenure Split (SE Wales)'!C$109)+(U$44*(-(50-$B7)*('Tenure Split (SE Wales)'!C$110/40))))</f>
        <v>#VALUE!</v>
      </c>
      <c r="W7" s="59" t="e">
        <f>V7*(1+'Tenure Split (SE Wales)'!D$109)+(V$44*(-(50-$B7)*('Tenure Split (SE Wales)'!D$110/40)))</f>
        <v>#VALUE!</v>
      </c>
      <c r="X7" s="59" t="e">
        <f>W7*(1+'Tenure Split (SE Wales)'!E$109)+(W$44*(-(50-$B7)*('Tenure Split (SE Wales)'!E$110/40)))</f>
        <v>#VALUE!</v>
      </c>
      <c r="Y7" s="59" t="e">
        <f>X7*(1+'Tenure Split (SE Wales)'!F$109)+(X$44*(-(50-$B7)*('Tenure Split (SE Wales)'!F$110/40)))</f>
        <v>#VALUE!</v>
      </c>
      <c r="Z7" s="59" t="e">
        <f>Y7*(1+'Tenure Split (SE Wales)'!G$109)+(Y$44*(-(50-$B7)*('Tenure Split (SE Wales)'!G$110/40)))</f>
        <v>#VALUE!</v>
      </c>
      <c r="AB7" s="1">
        <v>13</v>
      </c>
      <c r="AC7" s="4">
        <f>IF('Tenure Split (WALES)'!$D$8="WG Estimates",'Income (SE Wales)'!D7,'Income (SE Wales)'!V7)</f>
        <v>13133.159073635485</v>
      </c>
      <c r="AD7" s="4">
        <f>IF('Tenure Split (WALES)'!$D$8="WG Estimates",'Income (SE Wales)'!E7,'Income (SE Wales)'!W7)</f>
        <v>13219.140313101938</v>
      </c>
      <c r="AE7" s="4">
        <f>IF('Tenure Split (WALES)'!$D$8="WG Estimates",'Income (SE Wales)'!F7,'Income (SE Wales)'!X7)</f>
        <v>13394.608759555422</v>
      </c>
      <c r="AF7" s="4">
        <f>IF('Tenure Split (WALES)'!$D$8="WG Estimates",'Income (SE Wales)'!G7,'Income (SE Wales)'!Y7)</f>
        <v>13624.73168110147</v>
      </c>
      <c r="AG7" s="4">
        <f>IF('Tenure Split (WALES)'!$D$8="WG Estimates",'Income (SE Wales)'!H7,'Income (SE Wales)'!Z7)</f>
        <v>13866.80358299971</v>
      </c>
    </row>
    <row r="8" spans="2:33" x14ac:dyDescent="0.25">
      <c r="B8" s="20">
        <v>14</v>
      </c>
      <c r="C8" s="59">
        <v>13019.2</v>
      </c>
      <c r="D8" s="59">
        <f>C8*(1+'Tenure Split (SE Wales)'!C$109)+(C$44*(-(50-$B8)*('Tenure Split (SE Wales)'!C$110/40)))</f>
        <v>13243.266759901162</v>
      </c>
      <c r="E8" s="59">
        <f>D8*(1+'Tenure Split (SE Wales)'!D$109)+(D$44*(-(50-$B8)*('Tenure Split (SE Wales)'!D$110/40)))</f>
        <v>13338.881377006952</v>
      </c>
      <c r="F8" s="59">
        <f>E8*(1+'Tenure Split (SE Wales)'!E$109)+(E$44*(-(50-$B8)*('Tenure Split (SE Wales)'!E$110/40)))</f>
        <v>13525.25496571751</v>
      </c>
      <c r="G8" s="59">
        <f>F8*(1+'Tenure Split (SE Wales)'!F$109)+(F$44*(-(50-$B8)*('Tenure Split (SE Wales)'!F$110/40)))</f>
        <v>13767.42916358207</v>
      </c>
      <c r="H8" s="60">
        <f>G8*(1+'Tenure Split (SE Wales)'!G$109)+(G$44*(-(50-$B8)*('Tenure Split (SE Wales)'!G$110/40)))</f>
        <v>14022.405845498957</v>
      </c>
      <c r="L8" s="64" t="str">
        <f t="shared" si="0"/>
        <v/>
      </c>
      <c r="M8" s="251"/>
      <c r="N8" s="14">
        <f t="shared" si="3"/>
        <v>1</v>
      </c>
      <c r="T8" s="1">
        <f t="shared" si="1"/>
        <v>14</v>
      </c>
      <c r="U8" s="4" t="str">
        <f t="shared" si="2"/>
        <v/>
      </c>
      <c r="V8" s="59" t="e">
        <f>IF($K$4=$V$3,M8,U8*(1+'Tenure Split (SE Wales)'!C$109)+(U$44*(-(50-$B8)*('Tenure Split (SE Wales)'!C$110/40))))</f>
        <v>#VALUE!</v>
      </c>
      <c r="W8" s="59" t="e">
        <f>V8*(1+'Tenure Split (SE Wales)'!D$109)+(V$44*(-(50-$B8)*('Tenure Split (SE Wales)'!D$110/40)))</f>
        <v>#VALUE!</v>
      </c>
      <c r="X8" s="59" t="e">
        <f>W8*(1+'Tenure Split (SE Wales)'!E$109)+(W$44*(-(50-$B8)*('Tenure Split (SE Wales)'!E$110/40)))</f>
        <v>#VALUE!</v>
      </c>
      <c r="Y8" s="59" t="e">
        <f>X8*(1+'Tenure Split (SE Wales)'!F$109)+(X$44*(-(50-$B8)*('Tenure Split (SE Wales)'!F$110/40)))</f>
        <v>#VALUE!</v>
      </c>
      <c r="Z8" s="59" t="e">
        <f>Y8*(1+'Tenure Split (SE Wales)'!G$109)+(Y$44*(-(50-$B8)*('Tenure Split (SE Wales)'!G$110/40)))</f>
        <v>#VALUE!</v>
      </c>
      <c r="AB8" s="1">
        <v>14</v>
      </c>
      <c r="AC8" s="4">
        <f>IF('Tenure Split (WALES)'!$D$8="WG Estimates",'Income (SE Wales)'!D8,'Income (SE Wales)'!V8)</f>
        <v>13243.266759901162</v>
      </c>
      <c r="AD8" s="4">
        <f>IF('Tenure Split (WALES)'!$D$8="WG Estimates",'Income (SE Wales)'!E8,'Income (SE Wales)'!W8)</f>
        <v>13338.881377006952</v>
      </c>
      <c r="AE8" s="4">
        <f>IF('Tenure Split (WALES)'!$D$8="WG Estimates",'Income (SE Wales)'!F8,'Income (SE Wales)'!X8)</f>
        <v>13525.25496571751</v>
      </c>
      <c r="AF8" s="4">
        <f>IF('Tenure Split (WALES)'!$D$8="WG Estimates",'Income (SE Wales)'!G8,'Income (SE Wales)'!Y8)</f>
        <v>13767.42916358207</v>
      </c>
      <c r="AG8" s="4">
        <f>IF('Tenure Split (WALES)'!$D$8="WG Estimates",'Income (SE Wales)'!H8,'Income (SE Wales)'!Z8)</f>
        <v>14022.405845498957</v>
      </c>
    </row>
    <row r="9" spans="2:33" x14ac:dyDescent="0.25">
      <c r="B9" s="20">
        <v>15</v>
      </c>
      <c r="C9" s="59">
        <v>13258</v>
      </c>
      <c r="D9" s="59">
        <f>C9*(1+'Tenure Split (SE Wales)'!C$109)+(C$44*(-(50-$B9)*('Tenure Split (SE Wales)'!C$110/40)))</f>
        <v>13497.0848241036</v>
      </c>
      <c r="E9" s="59">
        <f>D9*(1+'Tenure Split (SE Wales)'!D$109)+(D$44*(-(50-$B9)*('Tenure Split (SE Wales)'!D$110/40)))</f>
        <v>13606.027784324957</v>
      </c>
      <c r="F9" s="59">
        <f>E9*(1+'Tenure Split (SE Wales)'!E$109)+(E$44*(-(50-$B9)*('Tenure Split (SE Wales)'!E$110/40)))</f>
        <v>13808.141854475169</v>
      </c>
      <c r="G9" s="59">
        <f>F9*(1+'Tenure Split (SE Wales)'!F$109)+(F$44*(-(50-$B9)*('Tenure Split (SE Wales)'!F$110/40)))</f>
        <v>14068.013304166807</v>
      </c>
      <c r="H9" s="60">
        <f>G9*(1+'Tenure Split (SE Wales)'!G$109)+(G$44*(-(50-$B9)*('Tenure Split (SE Wales)'!G$110/40)))</f>
        <v>14341.904283302159</v>
      </c>
      <c r="J9" s="436" t="str">
        <f>IF(J4="","If you would like to use your own income distribution data, please change your dropdown selection.","")</f>
        <v>If you would like to use your own income distribution data, please change your dropdown selection.</v>
      </c>
      <c r="L9" s="64" t="str">
        <f t="shared" si="0"/>
        <v/>
      </c>
      <c r="M9" s="251"/>
      <c r="N9" s="14">
        <f t="shared" si="3"/>
        <v>1</v>
      </c>
      <c r="T9" s="1">
        <f t="shared" si="1"/>
        <v>15</v>
      </c>
      <c r="U9" s="4" t="str">
        <f t="shared" si="2"/>
        <v/>
      </c>
      <c r="V9" s="59" t="e">
        <f>IF($K$4=$V$3,M9,U9*(1+'Tenure Split (SE Wales)'!C$109)+(U$44*(-(50-$B9)*('Tenure Split (SE Wales)'!C$110/40))))</f>
        <v>#VALUE!</v>
      </c>
      <c r="W9" s="59" t="e">
        <f>V9*(1+'Tenure Split (SE Wales)'!D$109)+(V$44*(-(50-$B9)*('Tenure Split (SE Wales)'!D$110/40)))</f>
        <v>#VALUE!</v>
      </c>
      <c r="X9" s="59" t="e">
        <f>W9*(1+'Tenure Split (SE Wales)'!E$109)+(W$44*(-(50-$B9)*('Tenure Split (SE Wales)'!E$110/40)))</f>
        <v>#VALUE!</v>
      </c>
      <c r="Y9" s="59" t="e">
        <f>X9*(1+'Tenure Split (SE Wales)'!F$109)+(X$44*(-(50-$B9)*('Tenure Split (SE Wales)'!F$110/40)))</f>
        <v>#VALUE!</v>
      </c>
      <c r="Z9" s="59" t="e">
        <f>Y9*(1+'Tenure Split (SE Wales)'!G$109)+(Y$44*(-(50-$B9)*('Tenure Split (SE Wales)'!G$110/40)))</f>
        <v>#VALUE!</v>
      </c>
      <c r="AB9" s="1">
        <v>15</v>
      </c>
      <c r="AC9" s="4">
        <f>IF('Tenure Split (WALES)'!$D$8="WG Estimates",'Income (SE Wales)'!D9,'Income (SE Wales)'!V9)</f>
        <v>13497.0848241036</v>
      </c>
      <c r="AD9" s="4">
        <f>IF('Tenure Split (WALES)'!$D$8="WG Estimates",'Income (SE Wales)'!E9,'Income (SE Wales)'!W9)</f>
        <v>13606.027784324957</v>
      </c>
      <c r="AE9" s="4">
        <f>IF('Tenure Split (WALES)'!$D$8="WG Estimates",'Income (SE Wales)'!F9,'Income (SE Wales)'!X9)</f>
        <v>13808.141854475169</v>
      </c>
      <c r="AF9" s="4">
        <f>IF('Tenure Split (WALES)'!$D$8="WG Estimates",'Income (SE Wales)'!G9,'Income (SE Wales)'!Y9)</f>
        <v>14068.013304166807</v>
      </c>
      <c r="AG9" s="4">
        <f>IF('Tenure Split (WALES)'!$D$8="WG Estimates",'Income (SE Wales)'!H9,'Income (SE Wales)'!Z9)</f>
        <v>14341.904283302159</v>
      </c>
    </row>
    <row r="10" spans="2:33" x14ac:dyDescent="0.25">
      <c r="B10" s="20">
        <v>16</v>
      </c>
      <c r="C10" s="59">
        <v>13646.2</v>
      </c>
      <c r="D10" s="59">
        <f>C10*(1+'Tenure Split (SE Wales)'!C$109)+(C$44*(-(50-$B10)*('Tenure Split (SE Wales)'!C$110/40)))</f>
        <v>13905.588266286963</v>
      </c>
      <c r="E10" s="59">
        <f>D10*(1+'Tenure Split (SE Wales)'!D$109)+(D$44*(-(50-$B10)*('Tenure Split (SE Wales)'!D$110/40)))</f>
        <v>14031.836715460689</v>
      </c>
      <c r="F10" s="59">
        <f>E10*(1+'Tenure Split (SE Wales)'!E$109)+(E$44*(-(50-$B10)*('Tenure Split (SE Wales)'!E$110/40)))</f>
        <v>14254.895875651981</v>
      </c>
      <c r="G10" s="59">
        <f>F10*(1+'Tenure Split (SE Wales)'!F$109)+(F$44*(-(50-$B10)*('Tenure Split (SE Wales)'!F$110/40)))</f>
        <v>14538.54172948323</v>
      </c>
      <c r="H10" s="60">
        <f>G10*(1+'Tenure Split (SE Wales)'!G$109)+(G$44*(-(50-$B10)*('Tenure Split (SE Wales)'!G$110/40)))</f>
        <v>14837.815463111208</v>
      </c>
      <c r="J10" s="436"/>
      <c r="L10" s="64" t="str">
        <f t="shared" si="0"/>
        <v/>
      </c>
      <c r="M10" s="251"/>
      <c r="N10" s="14">
        <f t="shared" si="3"/>
        <v>1</v>
      </c>
      <c r="T10" s="1">
        <f t="shared" si="1"/>
        <v>16</v>
      </c>
      <c r="U10" s="4" t="str">
        <f t="shared" si="2"/>
        <v/>
      </c>
      <c r="V10" s="59" t="e">
        <f>IF($K$4=$V$3,M10,U10*(1+'Tenure Split (SE Wales)'!C$109)+(U$44*(-(50-$B10)*('Tenure Split (SE Wales)'!C$110/40))))</f>
        <v>#VALUE!</v>
      </c>
      <c r="W10" s="59" t="e">
        <f>V10*(1+'Tenure Split (SE Wales)'!D$109)+(V$44*(-(50-$B10)*('Tenure Split (SE Wales)'!D$110/40)))</f>
        <v>#VALUE!</v>
      </c>
      <c r="X10" s="59" t="e">
        <f>W10*(1+'Tenure Split (SE Wales)'!E$109)+(W$44*(-(50-$B10)*('Tenure Split (SE Wales)'!E$110/40)))</f>
        <v>#VALUE!</v>
      </c>
      <c r="Y10" s="59" t="e">
        <f>X10*(1+'Tenure Split (SE Wales)'!F$109)+(X$44*(-(50-$B10)*('Tenure Split (SE Wales)'!F$110/40)))</f>
        <v>#VALUE!</v>
      </c>
      <c r="Z10" s="59" t="e">
        <f>Y10*(1+'Tenure Split (SE Wales)'!G$109)+(Y$44*(-(50-$B10)*('Tenure Split (SE Wales)'!G$110/40)))</f>
        <v>#VALUE!</v>
      </c>
      <c r="AB10" s="1">
        <v>16</v>
      </c>
      <c r="AC10" s="4">
        <f>IF('Tenure Split (WALES)'!$D$8="WG Estimates",'Income (SE Wales)'!D10,'Income (SE Wales)'!V10)</f>
        <v>13905.588266286963</v>
      </c>
      <c r="AD10" s="4">
        <f>IF('Tenure Split (WALES)'!$D$8="WG Estimates",'Income (SE Wales)'!E10,'Income (SE Wales)'!W10)</f>
        <v>14031.836715460689</v>
      </c>
      <c r="AE10" s="4">
        <f>IF('Tenure Split (WALES)'!$D$8="WG Estimates",'Income (SE Wales)'!F10,'Income (SE Wales)'!X10)</f>
        <v>14254.895875651981</v>
      </c>
      <c r="AF10" s="4">
        <f>IF('Tenure Split (WALES)'!$D$8="WG Estimates",'Income (SE Wales)'!G10,'Income (SE Wales)'!Y10)</f>
        <v>14538.54172948323</v>
      </c>
      <c r="AG10" s="4">
        <f>IF('Tenure Split (WALES)'!$D$8="WG Estimates",'Income (SE Wales)'!H10,'Income (SE Wales)'!Z10)</f>
        <v>14837.815463111208</v>
      </c>
    </row>
    <row r="11" spans="2:33" x14ac:dyDescent="0.25">
      <c r="B11" s="20">
        <v>17</v>
      </c>
      <c r="C11" s="59">
        <v>13977.5</v>
      </c>
      <c r="D11" s="59">
        <f>C11*(1+'Tenure Split (SE Wales)'!C$109)+(C$44*(-(50-$B11)*('Tenure Split (SE Wales)'!C$110/40)))</f>
        <v>14255.178736535154</v>
      </c>
      <c r="E11" s="59">
        <f>D11*(1+'Tenure Split (SE Wales)'!D$109)+(D$44*(-(50-$B11)*('Tenure Split (SE Wales)'!D$110/40)))</f>
        <v>14397.217951782306</v>
      </c>
      <c r="F11" s="59">
        <f>E11*(1+'Tenure Split (SE Wales)'!E$109)+(E$44*(-(50-$B11)*('Tenure Split (SE Wales)'!E$110/40)))</f>
        <v>14639.239991643721</v>
      </c>
      <c r="G11" s="59">
        <f>F11*(1+'Tenure Split (SE Wales)'!F$109)+(F$44*(-(50-$B11)*('Tenure Split (SE Wales)'!F$110/40)))</f>
        <v>14944.345725072528</v>
      </c>
      <c r="H11" s="60">
        <f>G11*(1+'Tenure Split (SE Wales)'!G$109)+(G$44*(-(50-$B11)*('Tenure Split (SE Wales)'!G$110/40)))</f>
        <v>15266.538657511072</v>
      </c>
      <c r="L11" s="64" t="str">
        <f t="shared" si="0"/>
        <v/>
      </c>
      <c r="M11" s="251"/>
      <c r="N11" s="14">
        <f t="shared" si="3"/>
        <v>1</v>
      </c>
      <c r="T11" s="1">
        <f t="shared" si="1"/>
        <v>17</v>
      </c>
      <c r="U11" s="4" t="str">
        <f t="shared" si="2"/>
        <v/>
      </c>
      <c r="V11" s="59" t="e">
        <f>IF($K$4=$V$3,M11,U11*(1+'Tenure Split (SE Wales)'!C$109)+(U$44*(-(50-$B11)*('Tenure Split (SE Wales)'!C$110/40))))</f>
        <v>#VALUE!</v>
      </c>
      <c r="W11" s="59" t="e">
        <f>V11*(1+'Tenure Split (SE Wales)'!D$109)+(V$44*(-(50-$B11)*('Tenure Split (SE Wales)'!D$110/40)))</f>
        <v>#VALUE!</v>
      </c>
      <c r="X11" s="59" t="e">
        <f>W11*(1+'Tenure Split (SE Wales)'!E$109)+(W$44*(-(50-$B11)*('Tenure Split (SE Wales)'!E$110/40)))</f>
        <v>#VALUE!</v>
      </c>
      <c r="Y11" s="59" t="e">
        <f>X11*(1+'Tenure Split (SE Wales)'!F$109)+(X$44*(-(50-$B11)*('Tenure Split (SE Wales)'!F$110/40)))</f>
        <v>#VALUE!</v>
      </c>
      <c r="Z11" s="59" t="e">
        <f>Y11*(1+'Tenure Split (SE Wales)'!G$109)+(Y$44*(-(50-$B11)*('Tenure Split (SE Wales)'!G$110/40)))</f>
        <v>#VALUE!</v>
      </c>
      <c r="AB11" s="1">
        <v>17</v>
      </c>
      <c r="AC11" s="4">
        <f>IF('Tenure Split (WALES)'!$D$8="WG Estimates",'Income (SE Wales)'!D11,'Income (SE Wales)'!V11)</f>
        <v>14255.178736535154</v>
      </c>
      <c r="AD11" s="4">
        <f>IF('Tenure Split (WALES)'!$D$8="WG Estimates",'Income (SE Wales)'!E11,'Income (SE Wales)'!W11)</f>
        <v>14397.217951782306</v>
      </c>
      <c r="AE11" s="4">
        <f>IF('Tenure Split (WALES)'!$D$8="WG Estimates",'Income (SE Wales)'!F11,'Income (SE Wales)'!X11)</f>
        <v>14639.239991643721</v>
      </c>
      <c r="AF11" s="4">
        <f>IF('Tenure Split (WALES)'!$D$8="WG Estimates",'Income (SE Wales)'!G11,'Income (SE Wales)'!Y11)</f>
        <v>14944.345725072528</v>
      </c>
      <c r="AG11" s="4">
        <f>IF('Tenure Split (WALES)'!$D$8="WG Estimates",'Income (SE Wales)'!H11,'Income (SE Wales)'!Z11)</f>
        <v>15266.538657511072</v>
      </c>
    </row>
    <row r="12" spans="2:33" x14ac:dyDescent="0.25">
      <c r="B12" s="20">
        <v>18</v>
      </c>
      <c r="C12" s="59">
        <v>14243</v>
      </c>
      <c r="D12" s="59">
        <f>C12*(1+'Tenure Split (SE Wales)'!C$109)+(C$44*(-(50-$B12)*('Tenure Split (SE Wales)'!C$110/40)))</f>
        <v>14536.641376320529</v>
      </c>
      <c r="E12" s="59">
        <f>D12*(1+'Tenure Split (SE Wales)'!D$109)+(D$44*(-(50-$B12)*('Tenure Split (SE Wales)'!D$110/40)))</f>
        <v>14692.719709742434</v>
      </c>
      <c r="F12" s="59">
        <f>E12*(1+'Tenure Split (SE Wales)'!E$109)+(E$44*(-(50-$B12)*('Tenure Split (SE Wales)'!E$110/40)))</f>
        <v>14951.412371938135</v>
      </c>
      <c r="G12" s="59">
        <f>F12*(1+'Tenure Split (SE Wales)'!F$109)+(F$44*(-(50-$B12)*('Tenure Split (SE Wales)'!F$110/40)))</f>
        <v>15275.301434615336</v>
      </c>
      <c r="H12" s="60">
        <f>G12*(1+'Tenure Split (SE Wales)'!G$109)+(G$44*(-(50-$B12)*('Tenure Split (SE Wales)'!G$110/40)))</f>
        <v>15617.564673704876</v>
      </c>
      <c r="L12" s="64" t="str">
        <f t="shared" si="0"/>
        <v/>
      </c>
      <c r="M12" s="251"/>
      <c r="N12" s="14">
        <f t="shared" si="3"/>
        <v>1</v>
      </c>
      <c r="T12" s="1">
        <f t="shared" si="1"/>
        <v>18</v>
      </c>
      <c r="U12" s="4" t="str">
        <f t="shared" si="2"/>
        <v/>
      </c>
      <c r="V12" s="59" t="e">
        <f>IF($K$4=$V$3,M12,U12*(1+'Tenure Split (SE Wales)'!C$109)+(U$44*(-(50-$B12)*('Tenure Split (SE Wales)'!C$110/40))))</f>
        <v>#VALUE!</v>
      </c>
      <c r="W12" s="59" t="e">
        <f>V12*(1+'Tenure Split (SE Wales)'!D$109)+(V$44*(-(50-$B12)*('Tenure Split (SE Wales)'!D$110/40)))</f>
        <v>#VALUE!</v>
      </c>
      <c r="X12" s="59" t="e">
        <f>W12*(1+'Tenure Split (SE Wales)'!E$109)+(W$44*(-(50-$B12)*('Tenure Split (SE Wales)'!E$110/40)))</f>
        <v>#VALUE!</v>
      </c>
      <c r="Y12" s="59" t="e">
        <f>X12*(1+'Tenure Split (SE Wales)'!F$109)+(X$44*(-(50-$B12)*('Tenure Split (SE Wales)'!F$110/40)))</f>
        <v>#VALUE!</v>
      </c>
      <c r="Z12" s="59" t="e">
        <f>Y12*(1+'Tenure Split (SE Wales)'!G$109)+(Y$44*(-(50-$B12)*('Tenure Split (SE Wales)'!G$110/40)))</f>
        <v>#VALUE!</v>
      </c>
      <c r="AB12" s="1">
        <v>18</v>
      </c>
      <c r="AC12" s="4">
        <f>IF('Tenure Split (WALES)'!$D$8="WG Estimates",'Income (SE Wales)'!D12,'Income (SE Wales)'!V12)</f>
        <v>14536.641376320529</v>
      </c>
      <c r="AD12" s="4">
        <f>IF('Tenure Split (WALES)'!$D$8="WG Estimates",'Income (SE Wales)'!E12,'Income (SE Wales)'!W12)</f>
        <v>14692.719709742434</v>
      </c>
      <c r="AE12" s="4">
        <f>IF('Tenure Split (WALES)'!$D$8="WG Estimates",'Income (SE Wales)'!F12,'Income (SE Wales)'!X12)</f>
        <v>14951.412371938135</v>
      </c>
      <c r="AF12" s="4">
        <f>IF('Tenure Split (WALES)'!$D$8="WG Estimates",'Income (SE Wales)'!G12,'Income (SE Wales)'!Y12)</f>
        <v>15275.301434615336</v>
      </c>
      <c r="AG12" s="4">
        <f>IF('Tenure Split (WALES)'!$D$8="WG Estimates",'Income (SE Wales)'!H12,'Income (SE Wales)'!Z12)</f>
        <v>15617.564673704876</v>
      </c>
    </row>
    <row r="13" spans="2:33" x14ac:dyDescent="0.25">
      <c r="B13" s="20">
        <v>19</v>
      </c>
      <c r="C13" s="59">
        <v>14720</v>
      </c>
      <c r="D13" s="59">
        <f>C13*(1+'Tenure Split (SE Wales)'!C$109)+(C$44*(-(50-$B13)*('Tenure Split (SE Wales)'!C$110/40)))</f>
        <v>15037.086328307814</v>
      </c>
      <c r="E13" s="59">
        <f>D13*(1+'Tenure Split (SE Wales)'!D$109)+(D$44*(-(50-$B13)*('Tenure Split (SE Wales)'!D$110/40)))</f>
        <v>15212.834076721636</v>
      </c>
      <c r="F13" s="59">
        <f>E13*(1+'Tenure Split (SE Wales)'!E$109)+(E$44*(-(50-$B13)*('Tenure Split (SE Wales)'!E$110/40)))</f>
        <v>15495.565331259666</v>
      </c>
      <c r="G13" s="59">
        <f>F13*(1+'Tenure Split (SE Wales)'!F$109)+(F$44*(-(50-$B13)*('Tenure Split (SE Wales)'!F$110/40)))</f>
        <v>15846.840920736138</v>
      </c>
      <c r="H13" s="60">
        <f>G13*(1+'Tenure Split (SE Wales)'!G$109)+(G$44*(-(50-$B13)*('Tenure Split (SE Wales)'!G$110/40)))</f>
        <v>16218.331619846718</v>
      </c>
      <c r="L13" s="64" t="str">
        <f t="shared" si="0"/>
        <v/>
      </c>
      <c r="M13" s="251"/>
      <c r="N13" s="14">
        <f t="shared" si="3"/>
        <v>1</v>
      </c>
      <c r="T13" s="1">
        <f t="shared" si="1"/>
        <v>19</v>
      </c>
      <c r="U13" s="4" t="str">
        <f t="shared" si="2"/>
        <v/>
      </c>
      <c r="V13" s="59" t="e">
        <f>IF($K$4=$V$3,M13,U13*(1+'Tenure Split (SE Wales)'!C$109)+(U$44*(-(50-$B13)*('Tenure Split (SE Wales)'!C$110/40))))</f>
        <v>#VALUE!</v>
      </c>
      <c r="W13" s="59" t="e">
        <f>V13*(1+'Tenure Split (SE Wales)'!D$109)+(V$44*(-(50-$B13)*('Tenure Split (SE Wales)'!D$110/40)))</f>
        <v>#VALUE!</v>
      </c>
      <c r="X13" s="59" t="e">
        <f>W13*(1+'Tenure Split (SE Wales)'!E$109)+(W$44*(-(50-$B13)*('Tenure Split (SE Wales)'!E$110/40)))</f>
        <v>#VALUE!</v>
      </c>
      <c r="Y13" s="59" t="e">
        <f>X13*(1+'Tenure Split (SE Wales)'!F$109)+(X$44*(-(50-$B13)*('Tenure Split (SE Wales)'!F$110/40)))</f>
        <v>#VALUE!</v>
      </c>
      <c r="Z13" s="59" t="e">
        <f>Y13*(1+'Tenure Split (SE Wales)'!G$109)+(Y$44*(-(50-$B13)*('Tenure Split (SE Wales)'!G$110/40)))</f>
        <v>#VALUE!</v>
      </c>
      <c r="AB13" s="1">
        <v>19</v>
      </c>
      <c r="AC13" s="4">
        <f>IF('Tenure Split (WALES)'!$D$8="WG Estimates",'Income (SE Wales)'!D13,'Income (SE Wales)'!V13)</f>
        <v>15037.086328307814</v>
      </c>
      <c r="AD13" s="4">
        <f>IF('Tenure Split (WALES)'!$D$8="WG Estimates",'Income (SE Wales)'!E13,'Income (SE Wales)'!W13)</f>
        <v>15212.834076721636</v>
      </c>
      <c r="AE13" s="4">
        <f>IF('Tenure Split (WALES)'!$D$8="WG Estimates",'Income (SE Wales)'!F13,'Income (SE Wales)'!X13)</f>
        <v>15495.565331259666</v>
      </c>
      <c r="AF13" s="4">
        <f>IF('Tenure Split (WALES)'!$D$8="WG Estimates",'Income (SE Wales)'!G13,'Income (SE Wales)'!Y13)</f>
        <v>15846.840920736138</v>
      </c>
      <c r="AG13" s="4">
        <f>IF('Tenure Split (WALES)'!$D$8="WG Estimates",'Income (SE Wales)'!H13,'Income (SE Wales)'!Z13)</f>
        <v>16218.331619846718</v>
      </c>
    </row>
    <row r="14" spans="2:33" x14ac:dyDescent="0.25">
      <c r="B14" s="20">
        <v>20</v>
      </c>
      <c r="C14" s="59">
        <v>14970.1</v>
      </c>
      <c r="D14" s="59">
        <f>C14*(1+'Tenure Split (SE Wales)'!C$109)+(C$44*(-(50-$B14)*('Tenure Split (SE Wales)'!C$110/40)))</f>
        <v>15302.604156708276</v>
      </c>
      <c r="E14" s="59">
        <f>D14*(1+'Tenure Split (SE Wales)'!D$109)+(D$44*(-(50-$B14)*('Tenure Split (SE Wales)'!D$110/40)))</f>
        <v>15491.981063150353</v>
      </c>
      <c r="F14" s="59">
        <f>E14*(1+'Tenure Split (SE Wales)'!E$109)+(E$44*(-(50-$B14)*('Tenure Split (SE Wales)'!E$110/40)))</f>
        <v>15790.846454263221</v>
      </c>
      <c r="G14" s="59">
        <f>F14*(1+'Tenure Split (SE Wales)'!F$109)+(F$44*(-(50-$B14)*('Tenure Split (SE Wales)'!F$110/40)))</f>
        <v>16160.278946310624</v>
      </c>
      <c r="H14" s="60">
        <f>G14*(1+'Tenure Split (SE Wales)'!G$109)+(G$44*(-(50-$B14)*('Tenure Split (SE Wales)'!G$110/40)))</f>
        <v>16551.17319007741</v>
      </c>
      <c r="L14" s="64" t="str">
        <f t="shared" si="0"/>
        <v/>
      </c>
      <c r="M14" s="251"/>
      <c r="N14" s="14">
        <f t="shared" si="3"/>
        <v>1</v>
      </c>
      <c r="T14" s="1">
        <f t="shared" si="1"/>
        <v>20</v>
      </c>
      <c r="U14" s="4" t="str">
        <f t="shared" si="2"/>
        <v/>
      </c>
      <c r="V14" s="59" t="e">
        <f>IF($K$4=$V$3,M14,U14*(1+'Tenure Split (SE Wales)'!C$109)+(U$44*(-(50-$B14)*('Tenure Split (SE Wales)'!C$110/40))))</f>
        <v>#VALUE!</v>
      </c>
      <c r="W14" s="59" t="e">
        <f>V14*(1+'Tenure Split (SE Wales)'!D$109)+(V$44*(-(50-$B14)*('Tenure Split (SE Wales)'!D$110/40)))</f>
        <v>#VALUE!</v>
      </c>
      <c r="X14" s="59" t="e">
        <f>W14*(1+'Tenure Split (SE Wales)'!E$109)+(W$44*(-(50-$B14)*('Tenure Split (SE Wales)'!E$110/40)))</f>
        <v>#VALUE!</v>
      </c>
      <c r="Y14" s="59" t="e">
        <f>X14*(1+'Tenure Split (SE Wales)'!F$109)+(X$44*(-(50-$B14)*('Tenure Split (SE Wales)'!F$110/40)))</f>
        <v>#VALUE!</v>
      </c>
      <c r="Z14" s="59" t="e">
        <f>Y14*(1+'Tenure Split (SE Wales)'!G$109)+(Y$44*(-(50-$B14)*('Tenure Split (SE Wales)'!G$110/40)))</f>
        <v>#VALUE!</v>
      </c>
      <c r="AB14" s="1">
        <v>20</v>
      </c>
      <c r="AC14" s="4">
        <f>IF('Tenure Split (WALES)'!$D$8="WG Estimates",'Income (SE Wales)'!D14,'Income (SE Wales)'!V14)</f>
        <v>15302.604156708276</v>
      </c>
      <c r="AD14" s="4">
        <f>IF('Tenure Split (WALES)'!$D$8="WG Estimates",'Income (SE Wales)'!E14,'Income (SE Wales)'!W14)</f>
        <v>15491.981063150353</v>
      </c>
      <c r="AE14" s="4">
        <f>IF('Tenure Split (WALES)'!$D$8="WG Estimates",'Income (SE Wales)'!F14,'Income (SE Wales)'!X14)</f>
        <v>15790.846454263221</v>
      </c>
      <c r="AF14" s="4">
        <f>IF('Tenure Split (WALES)'!$D$8="WG Estimates",'Income (SE Wales)'!G14,'Income (SE Wales)'!Y14)</f>
        <v>16160.278946310624</v>
      </c>
      <c r="AG14" s="4">
        <f>IF('Tenure Split (WALES)'!$D$8="WG Estimates",'Income (SE Wales)'!H14,'Income (SE Wales)'!Z14)</f>
        <v>16551.17319007741</v>
      </c>
    </row>
    <row r="15" spans="2:33" x14ac:dyDescent="0.25">
      <c r="B15" s="20">
        <v>21</v>
      </c>
      <c r="C15" s="59">
        <v>15043</v>
      </c>
      <c r="D15" s="59">
        <f>C15*(1+'Tenure Split (SE Wales)'!C$109)+(C$44*(-(50-$B15)*('Tenure Split (SE Wales)'!C$110/40)))</f>
        <v>15384.653116445956</v>
      </c>
      <c r="E15" s="59">
        <f>D15*(1+'Tenure Split (SE Wales)'!D$109)+(D$44*(-(50-$B15)*('Tenure Split (SE Wales)'!D$110/40)))</f>
        <v>15582.94197715269</v>
      </c>
      <c r="F15" s="59">
        <f>E15*(1+'Tenure Split (SE Wales)'!E$109)+(E$44*(-(50-$B15)*('Tenure Split (SE Wales)'!E$110/40)))</f>
        <v>15891.768434932947</v>
      </c>
      <c r="G15" s="59">
        <f>F15*(1+'Tenure Split (SE Wales)'!F$109)+(F$44*(-(50-$B15)*('Tenure Split (SE Wales)'!F$110/40)))</f>
        <v>16272.149855054759</v>
      </c>
      <c r="H15" s="60">
        <f>G15*(1+'Tenure Split (SE Wales)'!G$109)+(G$44*(-(50-$B15)*('Tenure Split (SE Wales)'!G$110/40)))</f>
        <v>16674.775550914292</v>
      </c>
      <c r="L15" s="64" t="str">
        <f t="shared" si="0"/>
        <v/>
      </c>
      <c r="M15" s="251"/>
      <c r="N15" s="14">
        <f t="shared" si="3"/>
        <v>1</v>
      </c>
      <c r="T15" s="1">
        <f t="shared" si="1"/>
        <v>21</v>
      </c>
      <c r="U15" s="4" t="str">
        <f t="shared" si="2"/>
        <v/>
      </c>
      <c r="V15" s="59" t="e">
        <f>IF($K$4=$V$3,M15,U15*(1+'Tenure Split (SE Wales)'!C$109)+(U$44*(-(50-$B15)*('Tenure Split (SE Wales)'!C$110/40))))</f>
        <v>#VALUE!</v>
      </c>
      <c r="W15" s="59" t="e">
        <f>V15*(1+'Tenure Split (SE Wales)'!D$109)+(V$44*(-(50-$B15)*('Tenure Split (SE Wales)'!D$110/40)))</f>
        <v>#VALUE!</v>
      </c>
      <c r="X15" s="59" t="e">
        <f>W15*(1+'Tenure Split (SE Wales)'!E$109)+(W$44*(-(50-$B15)*('Tenure Split (SE Wales)'!E$110/40)))</f>
        <v>#VALUE!</v>
      </c>
      <c r="Y15" s="59" t="e">
        <f>X15*(1+'Tenure Split (SE Wales)'!F$109)+(X$44*(-(50-$B15)*('Tenure Split (SE Wales)'!F$110/40)))</f>
        <v>#VALUE!</v>
      </c>
      <c r="Z15" s="59" t="e">
        <f>Y15*(1+'Tenure Split (SE Wales)'!G$109)+(Y$44*(-(50-$B15)*('Tenure Split (SE Wales)'!G$110/40)))</f>
        <v>#VALUE!</v>
      </c>
      <c r="AB15" s="1">
        <v>21</v>
      </c>
      <c r="AC15" s="4">
        <f>IF('Tenure Split (WALES)'!$D$8="WG Estimates",'Income (SE Wales)'!D15,'Income (SE Wales)'!V15)</f>
        <v>15384.653116445956</v>
      </c>
      <c r="AD15" s="4">
        <f>IF('Tenure Split (WALES)'!$D$8="WG Estimates",'Income (SE Wales)'!E15,'Income (SE Wales)'!W15)</f>
        <v>15582.94197715269</v>
      </c>
      <c r="AE15" s="4">
        <f>IF('Tenure Split (WALES)'!$D$8="WG Estimates",'Income (SE Wales)'!F15,'Income (SE Wales)'!X15)</f>
        <v>15891.768434932947</v>
      </c>
      <c r="AF15" s="4">
        <f>IF('Tenure Split (WALES)'!$D$8="WG Estimates",'Income (SE Wales)'!G15,'Income (SE Wales)'!Y15)</f>
        <v>16272.149855054759</v>
      </c>
      <c r="AG15" s="4">
        <f>IF('Tenure Split (WALES)'!$D$8="WG Estimates",'Income (SE Wales)'!H15,'Income (SE Wales)'!Z15)</f>
        <v>16674.775550914292</v>
      </c>
    </row>
    <row r="16" spans="2:33" x14ac:dyDescent="0.25">
      <c r="B16" s="20">
        <v>22</v>
      </c>
      <c r="C16" s="59">
        <v>15142</v>
      </c>
      <c r="D16" s="59">
        <f>C16*(1+'Tenure Split (SE Wales)'!C$109)+(C$44*(-(50-$B16)*('Tenure Split (SE Wales)'!C$110/40)))</f>
        <v>15493.725425348975</v>
      </c>
      <c r="E16" s="59">
        <f>D16*(1+'Tenure Split (SE Wales)'!D$109)+(D$44*(-(50-$B16)*('Tenure Split (SE Wales)'!D$110/40)))</f>
        <v>15701.621042906314</v>
      </c>
      <c r="F16" s="59">
        <f>E16*(1+'Tenure Split (SE Wales)'!E$109)+(E$44*(-(50-$B16)*('Tenure Split (SE Wales)'!E$110/40)))</f>
        <v>16021.317806206018</v>
      </c>
      <c r="G16" s="59">
        <f>F16*(1+'Tenure Split (SE Wales)'!F$109)+(F$44*(-(50-$B16)*('Tenure Split (SE Wales)'!F$110/40)))</f>
        <v>16413.709825589362</v>
      </c>
      <c r="H16" s="60">
        <f>G16*(1+'Tenure Split (SE Wales)'!G$109)+(G$44*(-(50-$B16)*('Tenure Split (SE Wales)'!G$110/40)))</f>
        <v>16829.197005234109</v>
      </c>
      <c r="L16" s="64" t="str">
        <f t="shared" si="0"/>
        <v/>
      </c>
      <c r="M16" s="251"/>
      <c r="N16" s="14">
        <f t="shared" si="3"/>
        <v>1</v>
      </c>
      <c r="T16" s="1">
        <f t="shared" si="1"/>
        <v>22</v>
      </c>
      <c r="U16" s="4" t="str">
        <f t="shared" si="2"/>
        <v/>
      </c>
      <c r="V16" s="59" t="e">
        <f>IF($K$4=$V$3,M16,U16*(1+'Tenure Split (SE Wales)'!C$109)+(U$44*(-(50-$B16)*('Tenure Split (SE Wales)'!C$110/40))))</f>
        <v>#VALUE!</v>
      </c>
      <c r="W16" s="59" t="e">
        <f>V16*(1+'Tenure Split (SE Wales)'!D$109)+(V$44*(-(50-$B16)*('Tenure Split (SE Wales)'!D$110/40)))</f>
        <v>#VALUE!</v>
      </c>
      <c r="X16" s="59" t="e">
        <f>W16*(1+'Tenure Split (SE Wales)'!E$109)+(W$44*(-(50-$B16)*('Tenure Split (SE Wales)'!E$110/40)))</f>
        <v>#VALUE!</v>
      </c>
      <c r="Y16" s="59" t="e">
        <f>X16*(1+'Tenure Split (SE Wales)'!F$109)+(X$44*(-(50-$B16)*('Tenure Split (SE Wales)'!F$110/40)))</f>
        <v>#VALUE!</v>
      </c>
      <c r="Z16" s="59" t="e">
        <f>Y16*(1+'Tenure Split (SE Wales)'!G$109)+(Y$44*(-(50-$B16)*('Tenure Split (SE Wales)'!G$110/40)))</f>
        <v>#VALUE!</v>
      </c>
      <c r="AB16" s="1">
        <v>22</v>
      </c>
      <c r="AC16" s="4">
        <f>IF('Tenure Split (WALES)'!$D$8="WG Estimates",'Income (SE Wales)'!D16,'Income (SE Wales)'!V16)</f>
        <v>15493.725425348975</v>
      </c>
      <c r="AD16" s="4">
        <f>IF('Tenure Split (WALES)'!$D$8="WG Estimates",'Income (SE Wales)'!E16,'Income (SE Wales)'!W16)</f>
        <v>15701.621042906314</v>
      </c>
      <c r="AE16" s="4">
        <f>IF('Tenure Split (WALES)'!$D$8="WG Estimates",'Income (SE Wales)'!F16,'Income (SE Wales)'!X16)</f>
        <v>16021.317806206018</v>
      </c>
      <c r="AF16" s="4">
        <f>IF('Tenure Split (WALES)'!$D$8="WG Estimates",'Income (SE Wales)'!G16,'Income (SE Wales)'!Y16)</f>
        <v>16413.709825589362</v>
      </c>
      <c r="AG16" s="4">
        <f>IF('Tenure Split (WALES)'!$D$8="WG Estimates",'Income (SE Wales)'!H16,'Income (SE Wales)'!Z16)</f>
        <v>16829.197005234109</v>
      </c>
    </row>
    <row r="17" spans="2:33" x14ac:dyDescent="0.25">
      <c r="B17" s="20">
        <v>23</v>
      </c>
      <c r="C17" s="59">
        <v>15480.88</v>
      </c>
      <c r="D17" s="59">
        <f>C17*(1+'Tenure Split (SE Wales)'!C$109)+(C$44*(-(50-$B17)*('Tenure Split (SE Wales)'!C$110/40)))</f>
        <v>15851.164056006104</v>
      </c>
      <c r="E17" s="59">
        <f>D17*(1+'Tenure Split (SE Wales)'!D$109)+(D$44*(-(50-$B17)*('Tenure Split (SE Wales)'!D$110/40)))</f>
        <v>16075.052225215468</v>
      </c>
      <c r="F17" s="59">
        <f>E17*(1+'Tenure Split (SE Wales)'!E$109)+(E$44*(-(50-$B17)*('Tenure Split (SE Wales)'!E$110/40)))</f>
        <v>16413.975930656503</v>
      </c>
      <c r="G17" s="59">
        <f>F17*(1+'Tenure Split (SE Wales)'!F$109)+(F$44*(-(50-$B17)*('Tenure Split (SE Wales)'!F$110/40)))</f>
        <v>16828.136161729297</v>
      </c>
      <c r="H17" s="60">
        <f>G17*(1+'Tenure Split (SE Wales)'!G$109)+(G$44*(-(50-$B17)*('Tenure Split (SE Wales)'!G$110/40)))</f>
        <v>17266.870725633995</v>
      </c>
      <c r="L17" s="64" t="str">
        <f t="shared" si="0"/>
        <v/>
      </c>
      <c r="M17" s="251"/>
      <c r="N17" s="14">
        <f t="shared" si="3"/>
        <v>1</v>
      </c>
      <c r="T17" s="1">
        <f t="shared" si="1"/>
        <v>23</v>
      </c>
      <c r="U17" s="4" t="str">
        <f t="shared" si="2"/>
        <v/>
      </c>
      <c r="V17" s="59" t="e">
        <f>IF($K$4=$V$3,M17,U17*(1+'Tenure Split (SE Wales)'!C$109)+(U$44*(-(50-$B17)*('Tenure Split (SE Wales)'!C$110/40))))</f>
        <v>#VALUE!</v>
      </c>
      <c r="W17" s="59" t="e">
        <f>V17*(1+'Tenure Split (SE Wales)'!D$109)+(V$44*(-(50-$B17)*('Tenure Split (SE Wales)'!D$110/40)))</f>
        <v>#VALUE!</v>
      </c>
      <c r="X17" s="59" t="e">
        <f>W17*(1+'Tenure Split (SE Wales)'!E$109)+(W$44*(-(50-$B17)*('Tenure Split (SE Wales)'!E$110/40)))</f>
        <v>#VALUE!</v>
      </c>
      <c r="Y17" s="59" t="e">
        <f>X17*(1+'Tenure Split (SE Wales)'!F$109)+(X$44*(-(50-$B17)*('Tenure Split (SE Wales)'!F$110/40)))</f>
        <v>#VALUE!</v>
      </c>
      <c r="Z17" s="59" t="e">
        <f>Y17*(1+'Tenure Split (SE Wales)'!G$109)+(Y$44*(-(50-$B17)*('Tenure Split (SE Wales)'!G$110/40)))</f>
        <v>#VALUE!</v>
      </c>
      <c r="AB17" s="1">
        <v>23</v>
      </c>
      <c r="AC17" s="4">
        <f>IF('Tenure Split (WALES)'!$D$8="WG Estimates",'Income (SE Wales)'!D17,'Income (SE Wales)'!V17)</f>
        <v>15851.164056006104</v>
      </c>
      <c r="AD17" s="4">
        <f>IF('Tenure Split (WALES)'!$D$8="WG Estimates",'Income (SE Wales)'!E17,'Income (SE Wales)'!W17)</f>
        <v>16075.052225215468</v>
      </c>
      <c r="AE17" s="4">
        <f>IF('Tenure Split (WALES)'!$D$8="WG Estimates",'Income (SE Wales)'!F17,'Income (SE Wales)'!X17)</f>
        <v>16413.975930656503</v>
      </c>
      <c r="AF17" s="4">
        <f>IF('Tenure Split (WALES)'!$D$8="WG Estimates",'Income (SE Wales)'!G17,'Income (SE Wales)'!Y17)</f>
        <v>16828.136161729297</v>
      </c>
      <c r="AG17" s="4">
        <f>IF('Tenure Split (WALES)'!$D$8="WG Estimates",'Income (SE Wales)'!H17,'Income (SE Wales)'!Z17)</f>
        <v>17266.870725633995</v>
      </c>
    </row>
    <row r="18" spans="2:33" x14ac:dyDescent="0.25">
      <c r="B18" s="20">
        <v>24</v>
      </c>
      <c r="C18" s="59">
        <v>15710.1</v>
      </c>
      <c r="D18" s="59">
        <f>C18*(1+'Tenure Split (SE Wales)'!C$109)+(C$44*(-(50-$B18)*('Tenure Split (SE Wales)'!C$110/40)))</f>
        <v>16095.063205074293</v>
      </c>
      <c r="E18" s="59">
        <f>D18*(1+'Tenure Split (SE Wales)'!D$109)+(D$44*(-(50-$B18)*('Tenure Split (SE Wales)'!D$110/40)))</f>
        <v>16332.024690243155</v>
      </c>
      <c r="F18" s="59">
        <f>E18*(1+'Tenure Split (SE Wales)'!E$109)+(E$44*(-(50-$B18)*('Tenure Split (SE Wales)'!E$110/40)))</f>
        <v>16686.355141177384</v>
      </c>
      <c r="G18" s="59">
        <f>F18*(1+'Tenure Split (SE Wales)'!F$109)+(F$44*(-(50-$B18)*('Tenure Split (SE Wales)'!F$110/40)))</f>
        <v>17117.822937871406</v>
      </c>
      <c r="H18" s="60">
        <f>G18*(1+'Tenure Split (SE Wales)'!G$109)+(G$44*(-(50-$B18)*('Tenure Split (SE Wales)'!G$110/40)))</f>
        <v>17575.057021078333</v>
      </c>
      <c r="L18" s="64" t="str">
        <f t="shared" si="0"/>
        <v/>
      </c>
      <c r="M18" s="251"/>
      <c r="N18" s="14">
        <f t="shared" si="3"/>
        <v>1</v>
      </c>
      <c r="T18" s="1">
        <f t="shared" si="1"/>
        <v>24</v>
      </c>
      <c r="U18" s="4" t="str">
        <f t="shared" si="2"/>
        <v/>
      </c>
      <c r="V18" s="59" t="e">
        <f>IF($K$4=$V$3,M18,U18*(1+'Tenure Split (SE Wales)'!C$109)+(U$44*(-(50-$B18)*('Tenure Split (SE Wales)'!C$110/40))))</f>
        <v>#VALUE!</v>
      </c>
      <c r="W18" s="59" t="e">
        <f>V18*(1+'Tenure Split (SE Wales)'!D$109)+(V$44*(-(50-$B18)*('Tenure Split (SE Wales)'!D$110/40)))</f>
        <v>#VALUE!</v>
      </c>
      <c r="X18" s="59" t="e">
        <f>W18*(1+'Tenure Split (SE Wales)'!E$109)+(W$44*(-(50-$B18)*('Tenure Split (SE Wales)'!E$110/40)))</f>
        <v>#VALUE!</v>
      </c>
      <c r="Y18" s="59" t="e">
        <f>X18*(1+'Tenure Split (SE Wales)'!F$109)+(X$44*(-(50-$B18)*('Tenure Split (SE Wales)'!F$110/40)))</f>
        <v>#VALUE!</v>
      </c>
      <c r="Z18" s="59" t="e">
        <f>Y18*(1+'Tenure Split (SE Wales)'!G$109)+(Y$44*(-(50-$B18)*('Tenure Split (SE Wales)'!G$110/40)))</f>
        <v>#VALUE!</v>
      </c>
      <c r="AB18" s="1">
        <v>24</v>
      </c>
      <c r="AC18" s="4">
        <f>IF('Tenure Split (WALES)'!$D$8="WG Estimates",'Income (SE Wales)'!D18,'Income (SE Wales)'!V18)</f>
        <v>16095.063205074293</v>
      </c>
      <c r="AD18" s="4">
        <f>IF('Tenure Split (WALES)'!$D$8="WG Estimates",'Income (SE Wales)'!E18,'Income (SE Wales)'!W18)</f>
        <v>16332.024690243155</v>
      </c>
      <c r="AE18" s="4">
        <f>IF('Tenure Split (WALES)'!$D$8="WG Estimates",'Income (SE Wales)'!F18,'Income (SE Wales)'!X18)</f>
        <v>16686.355141177384</v>
      </c>
      <c r="AF18" s="4">
        <f>IF('Tenure Split (WALES)'!$D$8="WG Estimates",'Income (SE Wales)'!G18,'Income (SE Wales)'!Y18)</f>
        <v>17117.822937871406</v>
      </c>
      <c r="AG18" s="4">
        <f>IF('Tenure Split (WALES)'!$D$8="WG Estimates",'Income (SE Wales)'!H18,'Income (SE Wales)'!Z18)</f>
        <v>17575.057021078333</v>
      </c>
    </row>
    <row r="19" spans="2:33" x14ac:dyDescent="0.25">
      <c r="B19" s="20">
        <v>25</v>
      </c>
      <c r="C19" s="59">
        <v>15981.2</v>
      </c>
      <c r="D19" s="59">
        <f>C19*(1+'Tenure Split (SE Wales)'!C$109)+(C$44*(-(50-$B19)*('Tenure Split (SE Wales)'!C$110/40)))</f>
        <v>16382.323958090545</v>
      </c>
      <c r="E19" s="59">
        <f>D19*(1+'Tenure Split (SE Wales)'!D$109)+(D$44*(-(50-$B19)*('Tenure Split (SE Wales)'!D$110/40)))</f>
        <v>16633.473637851068</v>
      </c>
      <c r="F19" s="59">
        <f>E19*(1+'Tenure Split (SE Wales)'!E$109)+(E$44*(-(50-$B19)*('Tenure Split (SE Wales)'!E$110/40)))</f>
        <v>17004.669796850292</v>
      </c>
      <c r="G19" s="59">
        <f>F19*(1+'Tenure Split (SE Wales)'!F$109)+(F$44*(-(50-$B19)*('Tenure Split (SE Wales)'!F$110/40)))</f>
        <v>17455.148714311788</v>
      </c>
      <c r="H19" s="60">
        <f>G19*(1+'Tenure Split (SE Wales)'!G$109)+(G$44*(-(50-$B19)*('Tenure Split (SE Wales)'!G$110/40)))</f>
        <v>17932.695563076908</v>
      </c>
      <c r="L19" s="64" t="str">
        <f t="shared" si="0"/>
        <v/>
      </c>
      <c r="M19" s="251"/>
      <c r="N19" s="14">
        <f t="shared" si="3"/>
        <v>1</v>
      </c>
      <c r="T19" s="1">
        <f t="shared" si="1"/>
        <v>25</v>
      </c>
      <c r="U19" s="4" t="str">
        <f t="shared" si="2"/>
        <v/>
      </c>
      <c r="V19" s="59" t="e">
        <f>IF($K$4=$V$3,M19,U19*(1+'Tenure Split (SE Wales)'!C$109)+(U$44*(-(50-$B19)*('Tenure Split (SE Wales)'!C$110/40))))</f>
        <v>#VALUE!</v>
      </c>
      <c r="W19" s="59" t="e">
        <f>V19*(1+'Tenure Split (SE Wales)'!D$109)+(V$44*(-(50-$B19)*('Tenure Split (SE Wales)'!D$110/40)))</f>
        <v>#VALUE!</v>
      </c>
      <c r="X19" s="59" t="e">
        <f>W19*(1+'Tenure Split (SE Wales)'!E$109)+(W$44*(-(50-$B19)*('Tenure Split (SE Wales)'!E$110/40)))</f>
        <v>#VALUE!</v>
      </c>
      <c r="Y19" s="59" t="e">
        <f>X19*(1+'Tenure Split (SE Wales)'!F$109)+(X$44*(-(50-$B19)*('Tenure Split (SE Wales)'!F$110/40)))</f>
        <v>#VALUE!</v>
      </c>
      <c r="Z19" s="59" t="e">
        <f>Y19*(1+'Tenure Split (SE Wales)'!G$109)+(Y$44*(-(50-$B19)*('Tenure Split (SE Wales)'!G$110/40)))</f>
        <v>#VALUE!</v>
      </c>
      <c r="AB19" s="1">
        <v>25</v>
      </c>
      <c r="AC19" s="4">
        <f>IF('Tenure Split (WALES)'!$D$8="WG Estimates",'Income (SE Wales)'!D19,'Income (SE Wales)'!V19)</f>
        <v>16382.323958090545</v>
      </c>
      <c r="AD19" s="4">
        <f>IF('Tenure Split (WALES)'!$D$8="WG Estimates",'Income (SE Wales)'!E19,'Income (SE Wales)'!W19)</f>
        <v>16633.473637851068</v>
      </c>
      <c r="AE19" s="4">
        <f>IF('Tenure Split (WALES)'!$D$8="WG Estimates",'Income (SE Wales)'!F19,'Income (SE Wales)'!X19)</f>
        <v>17004.669796850292</v>
      </c>
      <c r="AF19" s="4">
        <f>IF('Tenure Split (WALES)'!$D$8="WG Estimates",'Income (SE Wales)'!G19,'Income (SE Wales)'!Y19)</f>
        <v>17455.148714311788</v>
      </c>
      <c r="AG19" s="4">
        <f>IF('Tenure Split (WALES)'!$D$8="WG Estimates",'Income (SE Wales)'!H19,'Income (SE Wales)'!Z19)</f>
        <v>17932.695563076908</v>
      </c>
    </row>
    <row r="20" spans="2:33" x14ac:dyDescent="0.25">
      <c r="B20" s="20">
        <v>26</v>
      </c>
      <c r="C20" s="59">
        <v>16261.39</v>
      </c>
      <c r="D20" s="59">
        <f>C20*(1+'Tenure Split (SE Wales)'!C$109)+(C$44*(-(50-$B20)*('Tenure Split (SE Wales)'!C$110/40)))</f>
        <v>16678.996291333347</v>
      </c>
      <c r="E20" s="59">
        <f>D20*(1+'Tenure Split (SE Wales)'!D$109)+(D$44*(-(50-$B20)*('Tenure Split (SE Wales)'!D$110/40)))</f>
        <v>16944.57614865512</v>
      </c>
      <c r="F20" s="59">
        <f>E20*(1+'Tenure Split (SE Wales)'!E$109)+(E$44*(-(50-$B20)*('Tenure Split (SE Wales)'!E$110/40)))</f>
        <v>17332.954681664371</v>
      </c>
      <c r="G20" s="59">
        <f>F20*(1+'Tenure Split (SE Wales)'!F$109)+(F$44*(-(50-$B20)*('Tenure Split (SE Wales)'!F$110/40)))</f>
        <v>17802.814474341267</v>
      </c>
      <c r="H20" s="60">
        <f>G20*(1+'Tenure Split (SE Wales)'!G$109)+(G$44*(-(50-$B20)*('Tenure Split (SE Wales)'!G$110/40)))</f>
        <v>18301.067651426445</v>
      </c>
      <c r="L20" s="64" t="str">
        <f t="shared" si="0"/>
        <v/>
      </c>
      <c r="M20" s="251"/>
      <c r="N20" s="14">
        <f t="shared" si="3"/>
        <v>1</v>
      </c>
      <c r="T20" s="1">
        <f t="shared" si="1"/>
        <v>26</v>
      </c>
      <c r="U20" s="4" t="str">
        <f t="shared" si="2"/>
        <v/>
      </c>
      <c r="V20" s="59" t="e">
        <f>IF($K$4=$V$3,M20,U20*(1+'Tenure Split (SE Wales)'!C$109)+(U$44*(-(50-$B20)*('Tenure Split (SE Wales)'!C$110/40))))</f>
        <v>#VALUE!</v>
      </c>
      <c r="W20" s="59" t="e">
        <f>V20*(1+'Tenure Split (SE Wales)'!D$109)+(V$44*(-(50-$B20)*('Tenure Split (SE Wales)'!D$110/40)))</f>
        <v>#VALUE!</v>
      </c>
      <c r="X20" s="59" t="e">
        <f>W20*(1+'Tenure Split (SE Wales)'!E$109)+(W$44*(-(50-$B20)*('Tenure Split (SE Wales)'!E$110/40)))</f>
        <v>#VALUE!</v>
      </c>
      <c r="Y20" s="59" t="e">
        <f>X20*(1+'Tenure Split (SE Wales)'!F$109)+(X$44*(-(50-$B20)*('Tenure Split (SE Wales)'!F$110/40)))</f>
        <v>#VALUE!</v>
      </c>
      <c r="Z20" s="59" t="e">
        <f>Y20*(1+'Tenure Split (SE Wales)'!G$109)+(Y$44*(-(50-$B20)*('Tenure Split (SE Wales)'!G$110/40)))</f>
        <v>#VALUE!</v>
      </c>
      <c r="AB20" s="1">
        <v>26</v>
      </c>
      <c r="AC20" s="4">
        <f>IF('Tenure Split (WALES)'!$D$8="WG Estimates",'Income (SE Wales)'!D20,'Income (SE Wales)'!V20)</f>
        <v>16678.996291333347</v>
      </c>
      <c r="AD20" s="4">
        <f>IF('Tenure Split (WALES)'!$D$8="WG Estimates",'Income (SE Wales)'!E20,'Income (SE Wales)'!W20)</f>
        <v>16944.57614865512</v>
      </c>
      <c r="AE20" s="4">
        <f>IF('Tenure Split (WALES)'!$D$8="WG Estimates",'Income (SE Wales)'!F20,'Income (SE Wales)'!X20)</f>
        <v>17332.954681664371</v>
      </c>
      <c r="AF20" s="4">
        <f>IF('Tenure Split (WALES)'!$D$8="WG Estimates",'Income (SE Wales)'!G20,'Income (SE Wales)'!Y20)</f>
        <v>17802.814474341267</v>
      </c>
      <c r="AG20" s="4">
        <f>IF('Tenure Split (WALES)'!$D$8="WG Estimates",'Income (SE Wales)'!H20,'Income (SE Wales)'!Z20)</f>
        <v>18301.067651426445</v>
      </c>
    </row>
    <row r="21" spans="2:33" x14ac:dyDescent="0.25">
      <c r="B21" s="20">
        <v>27</v>
      </c>
      <c r="C21" s="59">
        <v>16589.788400000001</v>
      </c>
      <c r="D21" s="59">
        <f>C21*(1+'Tenure Split (SE Wales)'!C$109)+(C$44*(-(50-$B21)*('Tenure Split (SE Wales)'!C$110/40)))</f>
        <v>17025.582510626056</v>
      </c>
      <c r="E21" s="59">
        <f>D21*(1+'Tenure Split (SE Wales)'!D$109)+(D$44*(-(50-$B21)*('Tenure Split (SE Wales)'!D$110/40)))</f>
        <v>17306.875891140666</v>
      </c>
      <c r="F21" s="59">
        <f>E21*(1+'Tenure Split (SE Wales)'!E$109)+(E$44*(-(50-$B21)*('Tenure Split (SE Wales)'!E$110/40)))</f>
        <v>17714.116221542139</v>
      </c>
      <c r="G21" s="59">
        <f>F21*(1+'Tenure Split (SE Wales)'!F$109)+(F$44*(-(50-$B21)*('Tenure Split (SE Wales)'!F$110/40)))</f>
        <v>18205.317865268065</v>
      </c>
      <c r="H21" s="60">
        <f>G21*(1+'Tenure Split (SE Wales)'!G$109)+(G$44*(-(50-$B21)*('Tenure Split (SE Wales)'!G$110/40)))</f>
        <v>18726.364612812893</v>
      </c>
      <c r="L21" s="64" t="str">
        <f t="shared" si="0"/>
        <v/>
      </c>
      <c r="M21" s="251"/>
      <c r="N21" s="14">
        <f t="shared" si="3"/>
        <v>1</v>
      </c>
      <c r="T21" s="1">
        <f t="shared" si="1"/>
        <v>27</v>
      </c>
      <c r="U21" s="4" t="str">
        <f t="shared" si="2"/>
        <v/>
      </c>
      <c r="V21" s="59" t="e">
        <f>IF($K$4=$V$3,M21,U21*(1+'Tenure Split (SE Wales)'!C$109)+(U$44*(-(50-$B21)*('Tenure Split (SE Wales)'!C$110/40))))</f>
        <v>#VALUE!</v>
      </c>
      <c r="W21" s="59" t="e">
        <f>V21*(1+'Tenure Split (SE Wales)'!D$109)+(V$44*(-(50-$B21)*('Tenure Split (SE Wales)'!D$110/40)))</f>
        <v>#VALUE!</v>
      </c>
      <c r="X21" s="59" t="e">
        <f>W21*(1+'Tenure Split (SE Wales)'!E$109)+(W$44*(-(50-$B21)*('Tenure Split (SE Wales)'!E$110/40)))</f>
        <v>#VALUE!</v>
      </c>
      <c r="Y21" s="59" t="e">
        <f>X21*(1+'Tenure Split (SE Wales)'!F$109)+(X$44*(-(50-$B21)*('Tenure Split (SE Wales)'!F$110/40)))</f>
        <v>#VALUE!</v>
      </c>
      <c r="Z21" s="59" t="e">
        <f>Y21*(1+'Tenure Split (SE Wales)'!G$109)+(Y$44*(-(50-$B21)*('Tenure Split (SE Wales)'!G$110/40)))</f>
        <v>#VALUE!</v>
      </c>
      <c r="AB21" s="1">
        <v>27</v>
      </c>
      <c r="AC21" s="4">
        <f>IF('Tenure Split (WALES)'!$D$8="WG Estimates",'Income (SE Wales)'!D21,'Income (SE Wales)'!V21)</f>
        <v>17025.582510626056</v>
      </c>
      <c r="AD21" s="4">
        <f>IF('Tenure Split (WALES)'!$D$8="WG Estimates",'Income (SE Wales)'!E21,'Income (SE Wales)'!W21)</f>
        <v>17306.875891140666</v>
      </c>
      <c r="AE21" s="4">
        <f>IF('Tenure Split (WALES)'!$D$8="WG Estimates",'Income (SE Wales)'!F21,'Income (SE Wales)'!X21)</f>
        <v>17714.116221542139</v>
      </c>
      <c r="AF21" s="4">
        <f>IF('Tenure Split (WALES)'!$D$8="WG Estimates",'Income (SE Wales)'!G21,'Income (SE Wales)'!Y21)</f>
        <v>18205.317865268065</v>
      </c>
      <c r="AG21" s="4">
        <f>IF('Tenure Split (WALES)'!$D$8="WG Estimates",'Income (SE Wales)'!H21,'Income (SE Wales)'!Z21)</f>
        <v>18726.364612812893</v>
      </c>
    </row>
    <row r="22" spans="2:33" x14ac:dyDescent="0.25">
      <c r="B22" s="20">
        <v>28</v>
      </c>
      <c r="C22" s="59">
        <v>16892</v>
      </c>
      <c r="D22" s="59">
        <f>C22*(1+'Tenure Split (SE Wales)'!C$109)+(C$44*(-(50-$B22)*('Tenure Split (SE Wales)'!C$110/40)))</f>
        <v>17345.055509998343</v>
      </c>
      <c r="E22" s="59">
        <f>D22*(1+'Tenure Split (SE Wales)'!D$109)+(D$44*(-(50-$B22)*('Tenure Split (SE Wales)'!D$110/40)))</f>
        <v>17641.36530043538</v>
      </c>
      <c r="F22" s="59">
        <f>E22*(1+'Tenure Split (SE Wales)'!E$109)+(E$44*(-(50-$B22)*('Tenure Split (SE Wales)'!E$110/40)))</f>
        <v>18066.555165548198</v>
      </c>
      <c r="G22" s="59">
        <f>F22*(1+'Tenure Split (SE Wales)'!F$109)+(F$44*(-(50-$B22)*('Tenure Split (SE Wales)'!F$110/40)))</f>
        <v>18578.033458367481</v>
      </c>
      <c r="H22" s="60">
        <f>G22*(1+'Tenure Split (SE Wales)'!G$109)+(G$44*(-(50-$B22)*('Tenure Split (SE Wales)'!G$110/40)))</f>
        <v>19120.739986566427</v>
      </c>
      <c r="L22" s="64" t="str">
        <f t="shared" si="0"/>
        <v/>
      </c>
      <c r="M22" s="251"/>
      <c r="N22" s="14">
        <f t="shared" si="3"/>
        <v>1</v>
      </c>
      <c r="T22" s="1">
        <f t="shared" si="1"/>
        <v>28</v>
      </c>
      <c r="U22" s="4" t="str">
        <f t="shared" si="2"/>
        <v/>
      </c>
      <c r="V22" s="59" t="e">
        <f>IF($K$4=$V$3,M22,U22*(1+'Tenure Split (SE Wales)'!C$109)+(U$44*(-(50-$B22)*('Tenure Split (SE Wales)'!C$110/40))))</f>
        <v>#VALUE!</v>
      </c>
      <c r="W22" s="59" t="e">
        <f>V22*(1+'Tenure Split (SE Wales)'!D$109)+(V$44*(-(50-$B22)*('Tenure Split (SE Wales)'!D$110/40)))</f>
        <v>#VALUE!</v>
      </c>
      <c r="X22" s="59" t="e">
        <f>W22*(1+'Tenure Split (SE Wales)'!E$109)+(W$44*(-(50-$B22)*('Tenure Split (SE Wales)'!E$110/40)))</f>
        <v>#VALUE!</v>
      </c>
      <c r="Y22" s="59" t="e">
        <f>X22*(1+'Tenure Split (SE Wales)'!F$109)+(X$44*(-(50-$B22)*('Tenure Split (SE Wales)'!F$110/40)))</f>
        <v>#VALUE!</v>
      </c>
      <c r="Z22" s="59" t="e">
        <f>Y22*(1+'Tenure Split (SE Wales)'!G$109)+(Y$44*(-(50-$B22)*('Tenure Split (SE Wales)'!G$110/40)))</f>
        <v>#VALUE!</v>
      </c>
      <c r="AB22" s="1">
        <v>28</v>
      </c>
      <c r="AC22" s="4">
        <f>IF('Tenure Split (WALES)'!$D$8="WG Estimates",'Income (SE Wales)'!D22,'Income (SE Wales)'!V22)</f>
        <v>17345.055509998343</v>
      </c>
      <c r="AD22" s="4">
        <f>IF('Tenure Split (WALES)'!$D$8="WG Estimates",'Income (SE Wales)'!E22,'Income (SE Wales)'!W22)</f>
        <v>17641.36530043538</v>
      </c>
      <c r="AE22" s="4">
        <f>IF('Tenure Split (WALES)'!$D$8="WG Estimates",'Income (SE Wales)'!F22,'Income (SE Wales)'!X22)</f>
        <v>18066.555165548198</v>
      </c>
      <c r="AF22" s="4">
        <f>IF('Tenure Split (WALES)'!$D$8="WG Estimates",'Income (SE Wales)'!G22,'Income (SE Wales)'!Y22)</f>
        <v>18578.033458367481</v>
      </c>
      <c r="AG22" s="4">
        <f>IF('Tenure Split (WALES)'!$D$8="WG Estimates",'Income (SE Wales)'!H22,'Income (SE Wales)'!Z22)</f>
        <v>19120.739986566427</v>
      </c>
    </row>
    <row r="23" spans="2:33" x14ac:dyDescent="0.25">
      <c r="B23" s="20">
        <v>29</v>
      </c>
      <c r="C23" s="59">
        <v>17340</v>
      </c>
      <c r="D23" s="59">
        <f>C23*(1+'Tenure Split (SE Wales)'!C$109)+(C$44*(-(50-$B23)*('Tenure Split (SE Wales)'!C$110/40)))</f>
        <v>17815.474518468582</v>
      </c>
      <c r="E23" s="59">
        <f>D23*(1+'Tenure Split (SE Wales)'!D$109)+(D$44*(-(50-$B23)*('Tenure Split (SE Wales)'!D$110/40)))</f>
        <v>18130.681721024259</v>
      </c>
      <c r="F23" s="59">
        <f>E23*(1+'Tenure Split (SE Wales)'!E$109)+(E$44*(-(50-$B23)*('Tenure Split (SE Wales)'!E$110/40)))</f>
        <v>18578.899913088229</v>
      </c>
      <c r="G23" s="59">
        <f>F23*(1+'Tenure Split (SE Wales)'!F$109)+(F$44*(-(50-$B23)*('Tenure Split (SE Wales)'!F$110/40)))</f>
        <v>19116.585098054416</v>
      </c>
      <c r="H23" s="60">
        <f>G23*(1+'Tenure Split (SE Wales)'!G$109)+(G$44*(-(50-$B23)*('Tenure Split (SE Wales)'!G$110/40)))</f>
        <v>19687.263495504983</v>
      </c>
      <c r="L23" s="64" t="str">
        <f t="shared" si="0"/>
        <v/>
      </c>
      <c r="M23" s="251"/>
      <c r="N23" s="14">
        <f t="shared" si="3"/>
        <v>1</v>
      </c>
      <c r="T23" s="1">
        <f t="shared" si="1"/>
        <v>29</v>
      </c>
      <c r="U23" s="4" t="str">
        <f t="shared" si="2"/>
        <v/>
      </c>
      <c r="V23" s="59" t="e">
        <f>IF($K$4=$V$3,M23,U23*(1+'Tenure Split (SE Wales)'!C$109)+(U$44*(-(50-$B23)*('Tenure Split (SE Wales)'!C$110/40))))</f>
        <v>#VALUE!</v>
      </c>
      <c r="W23" s="59" t="e">
        <f>V23*(1+'Tenure Split (SE Wales)'!D$109)+(V$44*(-(50-$B23)*('Tenure Split (SE Wales)'!D$110/40)))</f>
        <v>#VALUE!</v>
      </c>
      <c r="X23" s="59" t="e">
        <f>W23*(1+'Tenure Split (SE Wales)'!E$109)+(W$44*(-(50-$B23)*('Tenure Split (SE Wales)'!E$110/40)))</f>
        <v>#VALUE!</v>
      </c>
      <c r="Y23" s="59" t="e">
        <f>X23*(1+'Tenure Split (SE Wales)'!F$109)+(X$44*(-(50-$B23)*('Tenure Split (SE Wales)'!F$110/40)))</f>
        <v>#VALUE!</v>
      </c>
      <c r="Z23" s="59" t="e">
        <f>Y23*(1+'Tenure Split (SE Wales)'!G$109)+(Y$44*(-(50-$B23)*('Tenure Split (SE Wales)'!G$110/40)))</f>
        <v>#VALUE!</v>
      </c>
      <c r="AB23" s="1">
        <v>29</v>
      </c>
      <c r="AC23" s="4">
        <f>IF('Tenure Split (WALES)'!$D$8="WG Estimates",'Income (SE Wales)'!D23,'Income (SE Wales)'!V23)</f>
        <v>17815.474518468582</v>
      </c>
      <c r="AD23" s="4">
        <f>IF('Tenure Split (WALES)'!$D$8="WG Estimates",'Income (SE Wales)'!E23,'Income (SE Wales)'!W23)</f>
        <v>18130.681721024259</v>
      </c>
      <c r="AE23" s="4">
        <f>IF('Tenure Split (WALES)'!$D$8="WG Estimates",'Income (SE Wales)'!F23,'Income (SE Wales)'!X23)</f>
        <v>18578.899913088229</v>
      </c>
      <c r="AF23" s="4">
        <f>IF('Tenure Split (WALES)'!$D$8="WG Estimates",'Income (SE Wales)'!G23,'Income (SE Wales)'!Y23)</f>
        <v>19116.585098054416</v>
      </c>
      <c r="AG23" s="4">
        <f>IF('Tenure Split (WALES)'!$D$8="WG Estimates",'Income (SE Wales)'!H23,'Income (SE Wales)'!Z23)</f>
        <v>19687.263495504983</v>
      </c>
    </row>
    <row r="24" spans="2:33" x14ac:dyDescent="0.25">
      <c r="B24" s="20">
        <v>30</v>
      </c>
      <c r="C24" s="59">
        <v>17659.75</v>
      </c>
      <c r="D24" s="59">
        <f>C24*(1+'Tenure Split (SE Wales)'!C$109)+(C$44*(-(50-$B24)*('Tenure Split (SE Wales)'!C$110/40)))</f>
        <v>18153.106380178084</v>
      </c>
      <c r="E24" s="59">
        <f>D24*(1+'Tenure Split (SE Wales)'!D$109)+(D$44*(-(50-$B24)*('Tenure Split (SE Wales)'!D$110/40)))</f>
        <v>18483.796878697314</v>
      </c>
      <c r="F24" s="59">
        <f>E24*(1+'Tenure Split (SE Wales)'!E$109)+(E$44*(-(50-$B24)*('Tenure Split (SE Wales)'!E$110/40)))</f>
        <v>18950.57558611182</v>
      </c>
      <c r="G24" s="59">
        <f>F24*(1+'Tenure Split (SE Wales)'!F$109)+(F$44*(-(50-$B24)*('Tenure Split (SE Wales)'!F$110/40)))</f>
        <v>19509.250830667464</v>
      </c>
      <c r="H24" s="60">
        <f>G24*(1+'Tenure Split (SE Wales)'!G$109)+(G$44*(-(50-$B24)*('Tenure Split (SE Wales)'!G$110/40)))</f>
        <v>20102.348355432503</v>
      </c>
      <c r="L24" s="64" t="str">
        <f t="shared" si="0"/>
        <v/>
      </c>
      <c r="M24" s="251"/>
      <c r="N24" s="14">
        <f t="shared" si="3"/>
        <v>1</v>
      </c>
      <c r="T24" s="1">
        <f t="shared" si="1"/>
        <v>30</v>
      </c>
      <c r="U24" s="4" t="str">
        <f t="shared" si="2"/>
        <v/>
      </c>
      <c r="V24" s="59" t="e">
        <f>IF($K$4=$V$3,M24,U24*(1+'Tenure Split (SE Wales)'!C$109)+(U$44*(-(50-$B24)*('Tenure Split (SE Wales)'!C$110/40))))</f>
        <v>#VALUE!</v>
      </c>
      <c r="W24" s="59" t="e">
        <f>V24*(1+'Tenure Split (SE Wales)'!D$109)+(V$44*(-(50-$B24)*('Tenure Split (SE Wales)'!D$110/40)))</f>
        <v>#VALUE!</v>
      </c>
      <c r="X24" s="59" t="e">
        <f>W24*(1+'Tenure Split (SE Wales)'!E$109)+(W$44*(-(50-$B24)*('Tenure Split (SE Wales)'!E$110/40)))</f>
        <v>#VALUE!</v>
      </c>
      <c r="Y24" s="59" t="e">
        <f>X24*(1+'Tenure Split (SE Wales)'!F$109)+(X$44*(-(50-$B24)*('Tenure Split (SE Wales)'!F$110/40)))</f>
        <v>#VALUE!</v>
      </c>
      <c r="Z24" s="59" t="e">
        <f>Y24*(1+'Tenure Split (SE Wales)'!G$109)+(Y$44*(-(50-$B24)*('Tenure Split (SE Wales)'!G$110/40)))</f>
        <v>#VALUE!</v>
      </c>
      <c r="AB24" s="1">
        <v>30</v>
      </c>
      <c r="AC24" s="4">
        <f>IF('Tenure Split (WALES)'!$D$8="WG Estimates",'Income (SE Wales)'!D24,'Income (SE Wales)'!V24)</f>
        <v>18153.106380178084</v>
      </c>
      <c r="AD24" s="4">
        <f>IF('Tenure Split (WALES)'!$D$8="WG Estimates",'Income (SE Wales)'!E24,'Income (SE Wales)'!W24)</f>
        <v>18483.796878697314</v>
      </c>
      <c r="AE24" s="4">
        <f>IF('Tenure Split (WALES)'!$D$8="WG Estimates",'Income (SE Wales)'!F24,'Income (SE Wales)'!X24)</f>
        <v>18950.57558611182</v>
      </c>
      <c r="AF24" s="4">
        <f>IF('Tenure Split (WALES)'!$D$8="WG Estimates",'Income (SE Wales)'!G24,'Income (SE Wales)'!Y24)</f>
        <v>19509.250830667464</v>
      </c>
      <c r="AG24" s="4">
        <f>IF('Tenure Split (WALES)'!$D$8="WG Estimates",'Income (SE Wales)'!H24,'Income (SE Wales)'!Z24)</f>
        <v>20102.348355432503</v>
      </c>
    </row>
    <row r="25" spans="2:33" x14ac:dyDescent="0.25">
      <c r="B25" s="20">
        <v>31</v>
      </c>
      <c r="C25" s="59">
        <v>18086.25</v>
      </c>
      <c r="D25" s="59">
        <f>C25*(1+'Tenure Split (SE Wales)'!C$109)+(C$44*(-(50-$B25)*('Tenure Split (SE Wales)'!C$110/40)))</f>
        <v>18601.264775351203</v>
      </c>
      <c r="E25" s="59">
        <f>D25*(1+'Tenure Split (SE Wales)'!D$109)+(D$44*(-(50-$B25)*('Tenure Split (SE Wales)'!D$110/40)))</f>
        <v>18950.280339031302</v>
      </c>
      <c r="F25" s="59">
        <f>E25*(1+'Tenure Split (SE Wales)'!E$109)+(E$44*(-(50-$B25)*('Tenure Split (SE Wales)'!E$110/40)))</f>
        <v>19439.33838353799</v>
      </c>
      <c r="G25" s="59">
        <f>F25*(1+'Tenure Split (SE Wales)'!F$109)+(F$44*(-(50-$B25)*('Tenure Split (SE Wales)'!F$110/40)))</f>
        <v>20023.345963515509</v>
      </c>
      <c r="H25" s="60">
        <f>G25*(1+'Tenure Split (SE Wales)'!G$109)+(G$44*(-(50-$B25)*('Tenure Split (SE Wales)'!G$110/40)))</f>
        <v>20643.48448851347</v>
      </c>
      <c r="L25" s="64" t="str">
        <f t="shared" si="0"/>
        <v/>
      </c>
      <c r="M25" s="251"/>
      <c r="N25" s="14">
        <f t="shared" si="3"/>
        <v>1</v>
      </c>
      <c r="T25" s="1">
        <f t="shared" si="1"/>
        <v>31</v>
      </c>
      <c r="U25" s="4" t="str">
        <f t="shared" si="2"/>
        <v/>
      </c>
      <c r="V25" s="59" t="e">
        <f>IF($K$4=$V$3,M25,U25*(1+'Tenure Split (SE Wales)'!C$109)+(U$44*(-(50-$B25)*('Tenure Split (SE Wales)'!C$110/40))))</f>
        <v>#VALUE!</v>
      </c>
      <c r="W25" s="59" t="e">
        <f>V25*(1+'Tenure Split (SE Wales)'!D$109)+(V$44*(-(50-$B25)*('Tenure Split (SE Wales)'!D$110/40)))</f>
        <v>#VALUE!</v>
      </c>
      <c r="X25" s="59" t="e">
        <f>W25*(1+'Tenure Split (SE Wales)'!E$109)+(W$44*(-(50-$B25)*('Tenure Split (SE Wales)'!E$110/40)))</f>
        <v>#VALUE!</v>
      </c>
      <c r="Y25" s="59" t="e">
        <f>X25*(1+'Tenure Split (SE Wales)'!F$109)+(X$44*(-(50-$B25)*('Tenure Split (SE Wales)'!F$110/40)))</f>
        <v>#VALUE!</v>
      </c>
      <c r="Z25" s="59" t="e">
        <f>Y25*(1+'Tenure Split (SE Wales)'!G$109)+(Y$44*(-(50-$B25)*('Tenure Split (SE Wales)'!G$110/40)))</f>
        <v>#VALUE!</v>
      </c>
      <c r="AB25" s="1">
        <v>31</v>
      </c>
      <c r="AC25" s="4">
        <f>IF('Tenure Split (WALES)'!$D$8="WG Estimates",'Income (SE Wales)'!D25,'Income (SE Wales)'!V25)</f>
        <v>18601.264775351203</v>
      </c>
      <c r="AD25" s="4">
        <f>IF('Tenure Split (WALES)'!$D$8="WG Estimates",'Income (SE Wales)'!E25,'Income (SE Wales)'!W25)</f>
        <v>18950.280339031302</v>
      </c>
      <c r="AE25" s="4">
        <f>IF('Tenure Split (WALES)'!$D$8="WG Estimates",'Income (SE Wales)'!F25,'Income (SE Wales)'!X25)</f>
        <v>19439.33838353799</v>
      </c>
      <c r="AF25" s="4">
        <f>IF('Tenure Split (WALES)'!$D$8="WG Estimates",'Income (SE Wales)'!G25,'Income (SE Wales)'!Y25)</f>
        <v>20023.345963515509</v>
      </c>
      <c r="AG25" s="4">
        <f>IF('Tenure Split (WALES)'!$D$8="WG Estimates",'Income (SE Wales)'!H25,'Income (SE Wales)'!Z25)</f>
        <v>20643.48448851347</v>
      </c>
    </row>
    <row r="26" spans="2:33" x14ac:dyDescent="0.25">
      <c r="B26" s="20">
        <v>32</v>
      </c>
      <c r="C26" s="59">
        <v>18532</v>
      </c>
      <c r="D26" s="59">
        <f>C26*(1+'Tenure Split (SE Wales)'!C$109)+(C$44*(-(50-$B26)*('Tenure Split (SE Wales)'!C$110/40)))</f>
        <v>19069.354184755462</v>
      </c>
      <c r="E26" s="59">
        <f>D26*(1+'Tenure Split (SE Wales)'!D$109)+(D$44*(-(50-$B26)*('Tenure Split (SE Wales)'!D$110/40)))</f>
        <v>19437.207263779554</v>
      </c>
      <c r="F26" s="59">
        <f>E26*(1+'Tenure Split (SE Wales)'!E$109)+(E$44*(-(50-$B26)*('Tenure Split (SE Wales)'!E$110/40)))</f>
        <v>19949.215252577738</v>
      </c>
      <c r="G26" s="59">
        <f>F26*(1+'Tenure Split (SE Wales)'!F$109)+(F$44*(-(50-$B26)*('Tenure Split (SE Wales)'!F$110/40)))</f>
        <v>20559.338201323961</v>
      </c>
      <c r="H26" s="60">
        <f>G26*(1+'Tenure Split (SE Wales)'!G$109)+(G$44*(-(50-$B26)*('Tenure Split (SE Wales)'!G$110/40)))</f>
        <v>21207.351179048332</v>
      </c>
      <c r="L26" s="64" t="str">
        <f t="shared" si="0"/>
        <v/>
      </c>
      <c r="M26" s="251"/>
      <c r="N26" s="14">
        <f t="shared" si="3"/>
        <v>1</v>
      </c>
      <c r="T26" s="1">
        <f t="shared" si="1"/>
        <v>32</v>
      </c>
      <c r="U26" s="4" t="str">
        <f t="shared" si="2"/>
        <v/>
      </c>
      <c r="V26" s="59" t="e">
        <f>IF($K$4=$V$3,M26,U26*(1+'Tenure Split (SE Wales)'!C$109)+(U$44*(-(50-$B26)*('Tenure Split (SE Wales)'!C$110/40))))</f>
        <v>#VALUE!</v>
      </c>
      <c r="W26" s="59" t="e">
        <f>V26*(1+'Tenure Split (SE Wales)'!D$109)+(V$44*(-(50-$B26)*('Tenure Split (SE Wales)'!D$110/40)))</f>
        <v>#VALUE!</v>
      </c>
      <c r="X26" s="59" t="e">
        <f>W26*(1+'Tenure Split (SE Wales)'!E$109)+(W$44*(-(50-$B26)*('Tenure Split (SE Wales)'!E$110/40)))</f>
        <v>#VALUE!</v>
      </c>
      <c r="Y26" s="59" t="e">
        <f>X26*(1+'Tenure Split (SE Wales)'!F$109)+(X$44*(-(50-$B26)*('Tenure Split (SE Wales)'!F$110/40)))</f>
        <v>#VALUE!</v>
      </c>
      <c r="Z26" s="59" t="e">
        <f>Y26*(1+'Tenure Split (SE Wales)'!G$109)+(Y$44*(-(50-$B26)*('Tenure Split (SE Wales)'!G$110/40)))</f>
        <v>#VALUE!</v>
      </c>
      <c r="AB26" s="1">
        <v>32</v>
      </c>
      <c r="AC26" s="4">
        <f>IF('Tenure Split (WALES)'!$D$8="WG Estimates",'Income (SE Wales)'!D26,'Income (SE Wales)'!V26)</f>
        <v>19069.354184755462</v>
      </c>
      <c r="AD26" s="4">
        <f>IF('Tenure Split (WALES)'!$D$8="WG Estimates",'Income (SE Wales)'!E26,'Income (SE Wales)'!W26)</f>
        <v>19437.207263779554</v>
      </c>
      <c r="AE26" s="4">
        <f>IF('Tenure Split (WALES)'!$D$8="WG Estimates",'Income (SE Wales)'!F26,'Income (SE Wales)'!X26)</f>
        <v>19949.215252577738</v>
      </c>
      <c r="AF26" s="4">
        <f>IF('Tenure Split (WALES)'!$D$8="WG Estimates",'Income (SE Wales)'!G26,'Income (SE Wales)'!Y26)</f>
        <v>20559.338201323961</v>
      </c>
      <c r="AG26" s="4">
        <f>IF('Tenure Split (WALES)'!$D$8="WG Estimates",'Income (SE Wales)'!H26,'Income (SE Wales)'!Z26)</f>
        <v>21207.351179048332</v>
      </c>
    </row>
    <row r="27" spans="2:33" x14ac:dyDescent="0.25">
      <c r="B27" s="20">
        <v>33</v>
      </c>
      <c r="C27" s="59">
        <v>18905.439999999999</v>
      </c>
      <c r="D27" s="59">
        <f>C27*(1+'Tenure Split (SE Wales)'!C$109)+(C$44*(-(50-$B27)*('Tenure Split (SE Wales)'!C$110/40)))</f>
        <v>19462.57545706601</v>
      </c>
      <c r="E27" s="59">
        <f>D27*(1+'Tenure Split (SE Wales)'!D$109)+(D$44*(-(50-$B27)*('Tenure Split (SE Wales)'!D$110/40)))</f>
        <v>19847.34110220076</v>
      </c>
      <c r="F27" s="59">
        <f>E27*(1+'Tenure Split (SE Wales)'!E$109)+(E$44*(-(50-$B27)*('Tenure Split (SE Wales)'!E$110/40)))</f>
        <v>20379.779990792653</v>
      </c>
      <c r="G27" s="59">
        <f>F27*(1+'Tenure Split (SE Wales)'!F$109)+(F$44*(-(50-$B27)*('Tenure Split (SE Wales)'!F$110/40)))</f>
        <v>21013.076950317489</v>
      </c>
      <c r="H27" s="60">
        <f>G27*(1+'Tenure Split (SE Wales)'!G$109)+(G$44*(-(50-$B27)*('Tenure Split (SE Wales)'!G$110/40)))</f>
        <v>21685.833630129087</v>
      </c>
      <c r="L27" s="64" t="str">
        <f t="shared" si="0"/>
        <v/>
      </c>
      <c r="M27" s="251"/>
      <c r="N27" s="14">
        <f t="shared" si="3"/>
        <v>1</v>
      </c>
      <c r="T27" s="1">
        <f t="shared" si="1"/>
        <v>33</v>
      </c>
      <c r="U27" s="4" t="str">
        <f t="shared" si="2"/>
        <v/>
      </c>
      <c r="V27" s="59" t="e">
        <f>IF($K$4=$V$3,M27,U27*(1+'Tenure Split (SE Wales)'!C$109)+(U$44*(-(50-$B27)*('Tenure Split (SE Wales)'!C$110/40))))</f>
        <v>#VALUE!</v>
      </c>
      <c r="W27" s="59" t="e">
        <f>V27*(1+'Tenure Split (SE Wales)'!D$109)+(V$44*(-(50-$B27)*('Tenure Split (SE Wales)'!D$110/40)))</f>
        <v>#VALUE!</v>
      </c>
      <c r="X27" s="59" t="e">
        <f>W27*(1+'Tenure Split (SE Wales)'!E$109)+(W$44*(-(50-$B27)*('Tenure Split (SE Wales)'!E$110/40)))</f>
        <v>#VALUE!</v>
      </c>
      <c r="Y27" s="59" t="e">
        <f>X27*(1+'Tenure Split (SE Wales)'!F$109)+(X$44*(-(50-$B27)*('Tenure Split (SE Wales)'!F$110/40)))</f>
        <v>#VALUE!</v>
      </c>
      <c r="Z27" s="59" t="e">
        <f>Y27*(1+'Tenure Split (SE Wales)'!G$109)+(Y$44*(-(50-$B27)*('Tenure Split (SE Wales)'!G$110/40)))</f>
        <v>#VALUE!</v>
      </c>
      <c r="AB27" s="1">
        <v>33</v>
      </c>
      <c r="AC27" s="4">
        <f>IF('Tenure Split (WALES)'!$D$8="WG Estimates",'Income (SE Wales)'!D27,'Income (SE Wales)'!V27)</f>
        <v>19462.57545706601</v>
      </c>
      <c r="AD27" s="4">
        <f>IF('Tenure Split (WALES)'!$D$8="WG Estimates",'Income (SE Wales)'!E27,'Income (SE Wales)'!W27)</f>
        <v>19847.34110220076</v>
      </c>
      <c r="AE27" s="4">
        <f>IF('Tenure Split (WALES)'!$D$8="WG Estimates",'Income (SE Wales)'!F27,'Income (SE Wales)'!X27)</f>
        <v>20379.779990792653</v>
      </c>
      <c r="AF27" s="4">
        <f>IF('Tenure Split (WALES)'!$D$8="WG Estimates",'Income (SE Wales)'!G27,'Income (SE Wales)'!Y27)</f>
        <v>21013.076950317489</v>
      </c>
      <c r="AG27" s="4">
        <f>IF('Tenure Split (WALES)'!$D$8="WG Estimates",'Income (SE Wales)'!H27,'Income (SE Wales)'!Z27)</f>
        <v>21685.833630129087</v>
      </c>
    </row>
    <row r="28" spans="2:33" x14ac:dyDescent="0.25">
      <c r="B28" s="20">
        <v>34</v>
      </c>
      <c r="C28" s="59">
        <v>19366</v>
      </c>
      <c r="D28" s="59">
        <f>C28*(1+'Tenure Split (SE Wales)'!C$109)+(C$44*(-(50-$B28)*('Tenure Split (SE Wales)'!C$110/40)))</f>
        <v>19945.998805211217</v>
      </c>
      <c r="E28" s="59">
        <f>D28*(1+'Tenure Split (SE Wales)'!D$109)+(D$44*(-(50-$B28)*('Tenure Split (SE Wales)'!D$110/40)))</f>
        <v>20349.996219571105</v>
      </c>
      <c r="F28" s="59">
        <f>E28*(1+'Tenure Split (SE Wales)'!E$109)+(E$44*(-(50-$B28)*('Tenure Split (SE Wales)'!E$110/40)))</f>
        <v>20905.900984538745</v>
      </c>
      <c r="G28" s="59">
        <f>F28*(1+'Tenure Split (SE Wales)'!F$109)+(F$44*(-(50-$B28)*('Tenure Split (SE Wales)'!F$110/40)))</f>
        <v>21565.91574004613</v>
      </c>
      <c r="H28" s="60">
        <f>G28*(1+'Tenure Split (SE Wales)'!G$109)+(G$44*(-(50-$B28)*('Tenure Split (SE Wales)'!G$110/40)))</f>
        <v>22267.18808980121</v>
      </c>
      <c r="L28" s="64" t="str">
        <f t="shared" si="0"/>
        <v/>
      </c>
      <c r="M28" s="251"/>
      <c r="N28" s="14">
        <f t="shared" si="3"/>
        <v>1</v>
      </c>
      <c r="T28" s="1">
        <f t="shared" si="1"/>
        <v>34</v>
      </c>
      <c r="U28" s="4" t="str">
        <f t="shared" si="2"/>
        <v/>
      </c>
      <c r="V28" s="59" t="e">
        <f>IF($K$4=$V$3,M28,U28*(1+'Tenure Split (SE Wales)'!C$109)+(U$44*(-(50-$B28)*('Tenure Split (SE Wales)'!C$110/40))))</f>
        <v>#VALUE!</v>
      </c>
      <c r="W28" s="59" t="e">
        <f>V28*(1+'Tenure Split (SE Wales)'!D$109)+(V$44*(-(50-$B28)*('Tenure Split (SE Wales)'!D$110/40)))</f>
        <v>#VALUE!</v>
      </c>
      <c r="X28" s="59" t="e">
        <f>W28*(1+'Tenure Split (SE Wales)'!E$109)+(W$44*(-(50-$B28)*('Tenure Split (SE Wales)'!E$110/40)))</f>
        <v>#VALUE!</v>
      </c>
      <c r="Y28" s="59" t="e">
        <f>X28*(1+'Tenure Split (SE Wales)'!F$109)+(X$44*(-(50-$B28)*('Tenure Split (SE Wales)'!F$110/40)))</f>
        <v>#VALUE!</v>
      </c>
      <c r="Z28" s="59" t="e">
        <f>Y28*(1+'Tenure Split (SE Wales)'!G$109)+(Y$44*(-(50-$B28)*('Tenure Split (SE Wales)'!G$110/40)))</f>
        <v>#VALUE!</v>
      </c>
      <c r="AB28" s="1">
        <v>34</v>
      </c>
      <c r="AC28" s="4">
        <f>IF('Tenure Split (WALES)'!$D$8="WG Estimates",'Income (SE Wales)'!D28,'Income (SE Wales)'!V28)</f>
        <v>19945.998805211217</v>
      </c>
      <c r="AD28" s="4">
        <f>IF('Tenure Split (WALES)'!$D$8="WG Estimates",'Income (SE Wales)'!E28,'Income (SE Wales)'!W28)</f>
        <v>20349.996219571105</v>
      </c>
      <c r="AE28" s="4">
        <f>IF('Tenure Split (WALES)'!$D$8="WG Estimates",'Income (SE Wales)'!F28,'Income (SE Wales)'!X28)</f>
        <v>20905.900984538745</v>
      </c>
      <c r="AF28" s="4">
        <f>IF('Tenure Split (WALES)'!$D$8="WG Estimates",'Income (SE Wales)'!G28,'Income (SE Wales)'!Y28)</f>
        <v>21565.91574004613</v>
      </c>
      <c r="AG28" s="4">
        <f>IF('Tenure Split (WALES)'!$D$8="WG Estimates",'Income (SE Wales)'!H28,'Income (SE Wales)'!Z28)</f>
        <v>22267.18808980121</v>
      </c>
    </row>
    <row r="29" spans="2:33" x14ac:dyDescent="0.25">
      <c r="B29" s="20">
        <v>35</v>
      </c>
      <c r="C29" s="59">
        <v>19692.5</v>
      </c>
      <c r="D29" s="59">
        <f>C29*(1+'Tenure Split (SE Wales)'!C$109)+(C$44*(-(50-$B29)*('Tenure Split (SE Wales)'!C$110/40)))</f>
        <v>20290.619464118656</v>
      </c>
      <c r="E29" s="59">
        <f>D29*(1+'Tenure Split (SE Wales)'!D$109)+(D$44*(-(50-$B29)*('Tenure Split (SE Wales)'!D$110/40)))</f>
        <v>20710.279864766049</v>
      </c>
      <c r="F29" s="59">
        <f>E29*(1+'Tenure Split (SE Wales)'!E$109)+(E$44*(-(50-$B29)*('Tenure Split (SE Wales)'!E$110/40)))</f>
        <v>21284.980293063203</v>
      </c>
      <c r="G29" s="59">
        <f>F29*(1+'Tenure Split (SE Wales)'!F$109)+(F$44*(-(50-$B29)*('Tenure Split (SE Wales)'!F$110/40)))</f>
        <v>21966.259678294649</v>
      </c>
      <c r="H29" s="60">
        <f>G29*(1+'Tenure Split (SE Wales)'!G$109)+(G$44*(-(50-$B29)*('Tenure Split (SE Wales)'!G$110/40)))</f>
        <v>22690.243404939836</v>
      </c>
      <c r="L29" s="64" t="str">
        <f t="shared" si="0"/>
        <v/>
      </c>
      <c r="M29" s="251"/>
      <c r="N29" s="14">
        <f t="shared" si="3"/>
        <v>1</v>
      </c>
      <c r="T29" s="1">
        <f t="shared" si="1"/>
        <v>35</v>
      </c>
      <c r="U29" s="4" t="str">
        <f t="shared" si="2"/>
        <v/>
      </c>
      <c r="V29" s="59" t="e">
        <f>IF($K$4=$V$3,M29,U29*(1+'Tenure Split (SE Wales)'!C$109)+(U$44*(-(50-$B29)*('Tenure Split (SE Wales)'!C$110/40))))</f>
        <v>#VALUE!</v>
      </c>
      <c r="W29" s="59" t="e">
        <f>V29*(1+'Tenure Split (SE Wales)'!D$109)+(V$44*(-(50-$B29)*('Tenure Split (SE Wales)'!D$110/40)))</f>
        <v>#VALUE!</v>
      </c>
      <c r="X29" s="59" t="e">
        <f>W29*(1+'Tenure Split (SE Wales)'!E$109)+(W$44*(-(50-$B29)*('Tenure Split (SE Wales)'!E$110/40)))</f>
        <v>#VALUE!</v>
      </c>
      <c r="Y29" s="59" t="e">
        <f>X29*(1+'Tenure Split (SE Wales)'!F$109)+(X$44*(-(50-$B29)*('Tenure Split (SE Wales)'!F$110/40)))</f>
        <v>#VALUE!</v>
      </c>
      <c r="Z29" s="59" t="e">
        <f>Y29*(1+'Tenure Split (SE Wales)'!G$109)+(Y$44*(-(50-$B29)*('Tenure Split (SE Wales)'!G$110/40)))</f>
        <v>#VALUE!</v>
      </c>
      <c r="AB29" s="1">
        <v>35</v>
      </c>
      <c r="AC29" s="4">
        <f>IF('Tenure Split (WALES)'!$D$8="WG Estimates",'Income (SE Wales)'!D29,'Income (SE Wales)'!V29)</f>
        <v>20290.619464118656</v>
      </c>
      <c r="AD29" s="4">
        <f>IF('Tenure Split (WALES)'!$D$8="WG Estimates",'Income (SE Wales)'!E29,'Income (SE Wales)'!W29)</f>
        <v>20710.279864766049</v>
      </c>
      <c r="AE29" s="4">
        <f>IF('Tenure Split (WALES)'!$D$8="WG Estimates",'Income (SE Wales)'!F29,'Income (SE Wales)'!X29)</f>
        <v>21284.980293063203</v>
      </c>
      <c r="AF29" s="4">
        <f>IF('Tenure Split (WALES)'!$D$8="WG Estimates",'Income (SE Wales)'!G29,'Income (SE Wales)'!Y29)</f>
        <v>21966.259678294649</v>
      </c>
      <c r="AG29" s="4">
        <f>IF('Tenure Split (WALES)'!$D$8="WG Estimates",'Income (SE Wales)'!H29,'Income (SE Wales)'!Z29)</f>
        <v>22690.243404939836</v>
      </c>
    </row>
    <row r="30" spans="2:33" x14ac:dyDescent="0.25">
      <c r="B30" s="20">
        <v>36</v>
      </c>
      <c r="C30" s="59">
        <v>20010</v>
      </c>
      <c r="D30" s="59">
        <f>C30*(1+'Tenure Split (SE Wales)'!C$109)+(C$44*(-(50-$B30)*('Tenure Split (SE Wales)'!C$110/40)))</f>
        <v>20625.921726762186</v>
      </c>
      <c r="E30" s="59">
        <f>D30*(1+'Tenure Split (SE Wales)'!D$109)+(D$44*(-(50-$B30)*('Tenure Split (SE Wales)'!D$110/40)))</f>
        <v>21061.005526598477</v>
      </c>
      <c r="F30" s="59">
        <f>E30*(1+'Tenure Split (SE Wales)'!E$109)+(E$44*(-(50-$B30)*('Tenure Split (SE Wales)'!E$110/40)))</f>
        <v>21654.188087586503</v>
      </c>
      <c r="G30" s="59">
        <f>F30*(1+'Tenure Split (SE Wales)'!F$109)+(F$44*(-(50-$B30)*('Tenure Split (SE Wales)'!F$110/40)))</f>
        <v>22356.366009029207</v>
      </c>
      <c r="H30" s="60">
        <f>G30*(1+'Tenure Split (SE Wales)'!G$109)+(G$44*(-(50-$B30)*('Tenure Split (SE Wales)'!G$110/40)))</f>
        <v>23102.671446463653</v>
      </c>
      <c r="L30" s="64" t="str">
        <f t="shared" si="0"/>
        <v/>
      </c>
      <c r="M30" s="251"/>
      <c r="N30" s="14">
        <f t="shared" si="3"/>
        <v>1</v>
      </c>
      <c r="T30" s="1">
        <f t="shared" si="1"/>
        <v>36</v>
      </c>
      <c r="U30" s="4" t="str">
        <f t="shared" si="2"/>
        <v/>
      </c>
      <c r="V30" s="59" t="e">
        <f>IF($K$4=$V$3,M30,U30*(1+'Tenure Split (SE Wales)'!C$109)+(U$44*(-(50-$B30)*('Tenure Split (SE Wales)'!C$110/40))))</f>
        <v>#VALUE!</v>
      </c>
      <c r="W30" s="59" t="e">
        <f>V30*(1+'Tenure Split (SE Wales)'!D$109)+(V$44*(-(50-$B30)*('Tenure Split (SE Wales)'!D$110/40)))</f>
        <v>#VALUE!</v>
      </c>
      <c r="X30" s="59" t="e">
        <f>W30*(1+'Tenure Split (SE Wales)'!E$109)+(W$44*(-(50-$B30)*('Tenure Split (SE Wales)'!E$110/40)))</f>
        <v>#VALUE!</v>
      </c>
      <c r="Y30" s="59" t="e">
        <f>X30*(1+'Tenure Split (SE Wales)'!F$109)+(X$44*(-(50-$B30)*('Tenure Split (SE Wales)'!F$110/40)))</f>
        <v>#VALUE!</v>
      </c>
      <c r="Z30" s="59" t="e">
        <f>Y30*(1+'Tenure Split (SE Wales)'!G$109)+(Y$44*(-(50-$B30)*('Tenure Split (SE Wales)'!G$110/40)))</f>
        <v>#VALUE!</v>
      </c>
      <c r="AB30" s="1">
        <v>36</v>
      </c>
      <c r="AC30" s="4">
        <f>IF('Tenure Split (WALES)'!$D$8="WG Estimates",'Income (SE Wales)'!D30,'Income (SE Wales)'!V30)</f>
        <v>20625.921726762186</v>
      </c>
      <c r="AD30" s="4">
        <f>IF('Tenure Split (WALES)'!$D$8="WG Estimates",'Income (SE Wales)'!E30,'Income (SE Wales)'!W30)</f>
        <v>21061.005526598477</v>
      </c>
      <c r="AE30" s="4">
        <f>IF('Tenure Split (WALES)'!$D$8="WG Estimates",'Income (SE Wales)'!F30,'Income (SE Wales)'!X30)</f>
        <v>21654.188087586503</v>
      </c>
      <c r="AF30" s="4">
        <f>IF('Tenure Split (WALES)'!$D$8="WG Estimates",'Income (SE Wales)'!G30,'Income (SE Wales)'!Y30)</f>
        <v>22356.366009029207</v>
      </c>
      <c r="AG30" s="4">
        <f>IF('Tenure Split (WALES)'!$D$8="WG Estimates",'Income (SE Wales)'!H30,'Income (SE Wales)'!Z30)</f>
        <v>23102.671446463653</v>
      </c>
    </row>
    <row r="31" spans="2:33" x14ac:dyDescent="0.25">
      <c r="B31" s="20">
        <v>37</v>
      </c>
      <c r="C31" s="59">
        <v>20343.099999999999</v>
      </c>
      <c r="D31" s="59">
        <f>C31*(1+'Tenure Split (SE Wales)'!C$109)+(C$44*(-(50-$B31)*('Tenure Split (SE Wales)'!C$110/40)))</f>
        <v>20977.375876263155</v>
      </c>
      <c r="E31" s="59">
        <f>D31*(1+'Tenure Split (SE Wales)'!D$109)+(D$44*(-(50-$B31)*('Tenure Split (SE Wales)'!D$110/40)))</f>
        <v>21428.298359592594</v>
      </c>
      <c r="F31" s="59">
        <f>E31*(1+'Tenure Split (SE Wales)'!E$109)+(E$44*(-(50-$B31)*('Tenure Split (SE Wales)'!E$110/40)))</f>
        <v>22040.506506378471</v>
      </c>
      <c r="G31" s="59">
        <f>F31*(1+'Tenure Split (SE Wales)'!F$109)+(F$44*(-(50-$B31)*('Tenure Split (SE Wales)'!F$110/40)))</f>
        <v>22764.217526121294</v>
      </c>
      <c r="H31" s="60">
        <f>G31*(1+'Tenure Split (SE Wales)'!G$109)+(G$44*(-(50-$B31)*('Tenure Split (SE Wales)'!G$110/40)))</f>
        <v>23533.520095586478</v>
      </c>
      <c r="L31" s="64" t="str">
        <f t="shared" si="0"/>
        <v/>
      </c>
      <c r="M31" s="251"/>
      <c r="N31" s="14">
        <f t="shared" si="3"/>
        <v>1</v>
      </c>
      <c r="T31" s="1">
        <f t="shared" si="1"/>
        <v>37</v>
      </c>
      <c r="U31" s="4" t="str">
        <f t="shared" si="2"/>
        <v/>
      </c>
      <c r="V31" s="59" t="e">
        <f>IF($K$4=$V$3,M31,U31*(1+'Tenure Split (SE Wales)'!C$109)+(U$44*(-(50-$B31)*('Tenure Split (SE Wales)'!C$110/40))))</f>
        <v>#VALUE!</v>
      </c>
      <c r="W31" s="59" t="e">
        <f>V31*(1+'Tenure Split (SE Wales)'!D$109)+(V$44*(-(50-$B31)*('Tenure Split (SE Wales)'!D$110/40)))</f>
        <v>#VALUE!</v>
      </c>
      <c r="X31" s="59" t="e">
        <f>W31*(1+'Tenure Split (SE Wales)'!E$109)+(W$44*(-(50-$B31)*('Tenure Split (SE Wales)'!E$110/40)))</f>
        <v>#VALUE!</v>
      </c>
      <c r="Y31" s="59" t="e">
        <f>X31*(1+'Tenure Split (SE Wales)'!F$109)+(X$44*(-(50-$B31)*('Tenure Split (SE Wales)'!F$110/40)))</f>
        <v>#VALUE!</v>
      </c>
      <c r="Z31" s="59" t="e">
        <f>Y31*(1+'Tenure Split (SE Wales)'!G$109)+(Y$44*(-(50-$B31)*('Tenure Split (SE Wales)'!G$110/40)))</f>
        <v>#VALUE!</v>
      </c>
      <c r="AB31" s="1">
        <v>37</v>
      </c>
      <c r="AC31" s="4">
        <f>IF('Tenure Split (WALES)'!$D$8="WG Estimates",'Income (SE Wales)'!D31,'Income (SE Wales)'!V31)</f>
        <v>20977.375876263155</v>
      </c>
      <c r="AD31" s="4">
        <f>IF('Tenure Split (WALES)'!$D$8="WG Estimates",'Income (SE Wales)'!E31,'Income (SE Wales)'!W31)</f>
        <v>21428.298359592594</v>
      </c>
      <c r="AE31" s="4">
        <f>IF('Tenure Split (WALES)'!$D$8="WG Estimates",'Income (SE Wales)'!F31,'Income (SE Wales)'!X31)</f>
        <v>22040.506506378471</v>
      </c>
      <c r="AF31" s="4">
        <f>IF('Tenure Split (WALES)'!$D$8="WG Estimates",'Income (SE Wales)'!G31,'Income (SE Wales)'!Y31)</f>
        <v>22764.217526121294</v>
      </c>
      <c r="AG31" s="4">
        <f>IF('Tenure Split (WALES)'!$D$8="WG Estimates",'Income (SE Wales)'!H31,'Income (SE Wales)'!Z31)</f>
        <v>23533.520095586478</v>
      </c>
    </row>
    <row r="32" spans="2:33" x14ac:dyDescent="0.25">
      <c r="B32" s="20">
        <v>38</v>
      </c>
      <c r="C32" s="59">
        <v>20791</v>
      </c>
      <c r="D32" s="59">
        <f>C32*(1+'Tenure Split (SE Wales)'!C$109)+(C$44*(-(50-$B32)*('Tenure Split (SE Wales)'!C$110/40)))</f>
        <v>21447.69134699713</v>
      </c>
      <c r="E32" s="59">
        <f>D32*(1+'Tenure Split (SE Wales)'!D$109)+(D$44*(-(50-$B32)*('Tenure Split (SE Wales)'!D$110/40)))</f>
        <v>21917.508580366335</v>
      </c>
      <c r="F32" s="59">
        <f>E32*(1+'Tenure Split (SE Wales)'!E$109)+(E$44*(-(50-$B32)*('Tenure Split (SE Wales)'!E$110/40)))</f>
        <v>22552.741570429607</v>
      </c>
      <c r="G32" s="59">
        <f>F32*(1+'Tenure Split (SE Wales)'!F$109)+(F$44*(-(50-$B32)*('Tenure Split (SE Wales)'!F$110/40)))</f>
        <v>23302.655414613637</v>
      </c>
      <c r="H32" s="60">
        <f>G32*(1+'Tenure Split (SE Wales)'!G$109)+(G$44*(-(50-$B32)*('Tenure Split (SE Wales)'!G$110/40)))</f>
        <v>24099.925523707105</v>
      </c>
      <c r="L32" s="64" t="str">
        <f t="shared" si="0"/>
        <v/>
      </c>
      <c r="M32" s="251"/>
      <c r="N32" s="14">
        <f t="shared" si="3"/>
        <v>1</v>
      </c>
      <c r="T32" s="1">
        <f t="shared" si="1"/>
        <v>38</v>
      </c>
      <c r="U32" s="4" t="str">
        <f t="shared" si="2"/>
        <v/>
      </c>
      <c r="V32" s="59" t="e">
        <f>IF($K$4=$V$3,M32,U32*(1+'Tenure Split (SE Wales)'!C$109)+(U$44*(-(50-$B32)*('Tenure Split (SE Wales)'!C$110/40))))</f>
        <v>#VALUE!</v>
      </c>
      <c r="W32" s="59" t="e">
        <f>V32*(1+'Tenure Split (SE Wales)'!D$109)+(V$44*(-(50-$B32)*('Tenure Split (SE Wales)'!D$110/40)))</f>
        <v>#VALUE!</v>
      </c>
      <c r="X32" s="59" t="e">
        <f>W32*(1+'Tenure Split (SE Wales)'!E$109)+(W$44*(-(50-$B32)*('Tenure Split (SE Wales)'!E$110/40)))</f>
        <v>#VALUE!</v>
      </c>
      <c r="Y32" s="59" t="e">
        <f>X32*(1+'Tenure Split (SE Wales)'!F$109)+(X$44*(-(50-$B32)*('Tenure Split (SE Wales)'!F$110/40)))</f>
        <v>#VALUE!</v>
      </c>
      <c r="Z32" s="59" t="e">
        <f>Y32*(1+'Tenure Split (SE Wales)'!G$109)+(Y$44*(-(50-$B32)*('Tenure Split (SE Wales)'!G$110/40)))</f>
        <v>#VALUE!</v>
      </c>
      <c r="AB32" s="1">
        <v>38</v>
      </c>
      <c r="AC32" s="4">
        <f>IF('Tenure Split (WALES)'!$D$8="WG Estimates",'Income (SE Wales)'!D32,'Income (SE Wales)'!V32)</f>
        <v>21447.69134699713</v>
      </c>
      <c r="AD32" s="4">
        <f>IF('Tenure Split (WALES)'!$D$8="WG Estimates",'Income (SE Wales)'!E32,'Income (SE Wales)'!W32)</f>
        <v>21917.508580366335</v>
      </c>
      <c r="AE32" s="4">
        <f>IF('Tenure Split (WALES)'!$D$8="WG Estimates",'Income (SE Wales)'!F32,'Income (SE Wales)'!X32)</f>
        <v>22552.741570429607</v>
      </c>
      <c r="AF32" s="4">
        <f>IF('Tenure Split (WALES)'!$D$8="WG Estimates",'Income (SE Wales)'!G32,'Income (SE Wales)'!Y32)</f>
        <v>23302.655414613637</v>
      </c>
      <c r="AG32" s="4">
        <f>IF('Tenure Split (WALES)'!$D$8="WG Estimates",'Income (SE Wales)'!H32,'Income (SE Wales)'!Z32)</f>
        <v>24099.925523707105</v>
      </c>
    </row>
    <row r="33" spans="2:33" x14ac:dyDescent="0.25">
      <c r="B33" s="20">
        <v>39</v>
      </c>
      <c r="C33" s="59">
        <v>21349</v>
      </c>
      <c r="D33" s="59">
        <f>C33*(1+'Tenure Split (SE Wales)'!C$109)+(C$44*(-(50-$B33)*('Tenure Split (SE Wales)'!C$110/40)))</f>
        <v>22032.001865359613</v>
      </c>
      <c r="E33" s="59">
        <f>D33*(1+'Tenure Split (SE Wales)'!D$109)+(D$44*(-(50-$B33)*('Tenure Split (SE Wales)'!D$110/40)))</f>
        <v>22523.644797608158</v>
      </c>
      <c r="F33" s="59">
        <f>E33*(1+'Tenure Split (SE Wales)'!E$109)+(E$44*(-(50-$B33)*('Tenure Split (SE Wales)'!E$110/40)))</f>
        <v>23185.738155761515</v>
      </c>
      <c r="G33" s="59">
        <f>F33*(1+'Tenure Split (SE Wales)'!F$109)+(F$44*(-(50-$B33)*('Tenure Split (SE Wales)'!F$110/40)))</f>
        <v>23966.333368360047</v>
      </c>
      <c r="H33" s="60">
        <f>G33*(1+'Tenure Split (SE Wales)'!G$109)+(G$44*(-(50-$B33)*('Tenure Split (SE Wales)'!G$110/40)))</f>
        <v>24796.33793238223</v>
      </c>
      <c r="L33" s="64" t="str">
        <f t="shared" si="0"/>
        <v/>
      </c>
      <c r="M33" s="251"/>
      <c r="N33" s="14">
        <f t="shared" si="3"/>
        <v>1</v>
      </c>
      <c r="T33" s="1">
        <f t="shared" si="1"/>
        <v>39</v>
      </c>
      <c r="U33" s="4" t="str">
        <f t="shared" si="2"/>
        <v/>
      </c>
      <c r="V33" s="59" t="e">
        <f>IF($K$4=$V$3,M33,U33*(1+'Tenure Split (SE Wales)'!C$109)+(U$44*(-(50-$B33)*('Tenure Split (SE Wales)'!C$110/40))))</f>
        <v>#VALUE!</v>
      </c>
      <c r="W33" s="59" t="e">
        <f>V33*(1+'Tenure Split (SE Wales)'!D$109)+(V$44*(-(50-$B33)*('Tenure Split (SE Wales)'!D$110/40)))</f>
        <v>#VALUE!</v>
      </c>
      <c r="X33" s="59" t="e">
        <f>W33*(1+'Tenure Split (SE Wales)'!E$109)+(W$44*(-(50-$B33)*('Tenure Split (SE Wales)'!E$110/40)))</f>
        <v>#VALUE!</v>
      </c>
      <c r="Y33" s="59" t="e">
        <f>X33*(1+'Tenure Split (SE Wales)'!F$109)+(X$44*(-(50-$B33)*('Tenure Split (SE Wales)'!F$110/40)))</f>
        <v>#VALUE!</v>
      </c>
      <c r="Z33" s="59" t="e">
        <f>Y33*(1+'Tenure Split (SE Wales)'!G$109)+(Y$44*(-(50-$B33)*('Tenure Split (SE Wales)'!G$110/40)))</f>
        <v>#VALUE!</v>
      </c>
      <c r="AB33" s="1">
        <v>39</v>
      </c>
      <c r="AC33" s="4">
        <f>IF('Tenure Split (WALES)'!$D$8="WG Estimates",'Income (SE Wales)'!D33,'Income (SE Wales)'!V33)</f>
        <v>22032.001865359613</v>
      </c>
      <c r="AD33" s="4">
        <f>IF('Tenure Split (WALES)'!$D$8="WG Estimates",'Income (SE Wales)'!E33,'Income (SE Wales)'!W33)</f>
        <v>22523.644797608158</v>
      </c>
      <c r="AE33" s="4">
        <f>IF('Tenure Split (WALES)'!$D$8="WG Estimates",'Income (SE Wales)'!F33,'Income (SE Wales)'!X33)</f>
        <v>23185.738155761515</v>
      </c>
      <c r="AF33" s="4">
        <f>IF('Tenure Split (WALES)'!$D$8="WG Estimates",'Income (SE Wales)'!G33,'Income (SE Wales)'!Y33)</f>
        <v>23966.333368360047</v>
      </c>
      <c r="AG33" s="4">
        <f>IF('Tenure Split (WALES)'!$D$8="WG Estimates",'Income (SE Wales)'!H33,'Income (SE Wales)'!Z33)</f>
        <v>24796.33793238223</v>
      </c>
    </row>
    <row r="34" spans="2:33" x14ac:dyDescent="0.25">
      <c r="B34" s="20">
        <v>40</v>
      </c>
      <c r="C34" s="59">
        <v>21769.5</v>
      </c>
      <c r="D34" s="59">
        <f>C34*(1+'Tenure Split (SE Wales)'!C$109)+(C$44*(-(50-$B34)*('Tenure Split (SE Wales)'!C$110/40)))</f>
        <v>22473.94799635679</v>
      </c>
      <c r="E34" s="59">
        <f>D34*(1+'Tenure Split (SE Wales)'!D$109)+(D$44*(-(50-$B34)*('Tenure Split (SE Wales)'!D$110/40)))</f>
        <v>22983.756269033802</v>
      </c>
      <c r="F34" s="59">
        <f>E34*(1+'Tenure Split (SE Wales)'!E$109)+(E$44*(-(50-$B34)*('Tenure Split (SE Wales)'!E$110/40)))</f>
        <v>23667.91994385358</v>
      </c>
      <c r="G34" s="59">
        <f>F34*(1+'Tenure Split (SE Wales)'!F$109)+(F$44*(-(50-$B34)*('Tenure Split (SE Wales)'!F$110/40)))</f>
        <v>24473.603429532115</v>
      </c>
      <c r="H34" s="60">
        <f>G34*(1+'Tenure Split (SE Wales)'!G$109)+(G$44*(-(50-$B34)*('Tenure Split (SE Wales)'!G$110/40)))</f>
        <v>25330.389216386648</v>
      </c>
      <c r="L34" s="64" t="str">
        <f t="shared" si="0"/>
        <v/>
      </c>
      <c r="M34" s="251"/>
      <c r="N34" s="14">
        <f t="shared" si="3"/>
        <v>1</v>
      </c>
      <c r="T34" s="1">
        <f t="shared" si="1"/>
        <v>40</v>
      </c>
      <c r="U34" s="4" t="str">
        <f t="shared" si="2"/>
        <v/>
      </c>
      <c r="V34" s="59" t="e">
        <f>IF($K$4=$V$3,M34,U34*(1+'Tenure Split (SE Wales)'!C$109)+(U$44*(-(50-$B34)*('Tenure Split (SE Wales)'!C$110/40))))</f>
        <v>#VALUE!</v>
      </c>
      <c r="W34" s="59" t="e">
        <f>V34*(1+'Tenure Split (SE Wales)'!D$109)+(V$44*(-(50-$B34)*('Tenure Split (SE Wales)'!D$110/40)))</f>
        <v>#VALUE!</v>
      </c>
      <c r="X34" s="59" t="e">
        <f>W34*(1+'Tenure Split (SE Wales)'!E$109)+(W$44*(-(50-$B34)*('Tenure Split (SE Wales)'!E$110/40)))</f>
        <v>#VALUE!</v>
      </c>
      <c r="Y34" s="59" t="e">
        <f>X34*(1+'Tenure Split (SE Wales)'!F$109)+(X$44*(-(50-$B34)*('Tenure Split (SE Wales)'!F$110/40)))</f>
        <v>#VALUE!</v>
      </c>
      <c r="Z34" s="59" t="e">
        <f>Y34*(1+'Tenure Split (SE Wales)'!G$109)+(Y$44*(-(50-$B34)*('Tenure Split (SE Wales)'!G$110/40)))</f>
        <v>#VALUE!</v>
      </c>
      <c r="AB34" s="1">
        <v>40</v>
      </c>
      <c r="AC34" s="4">
        <f>IF('Tenure Split (WALES)'!$D$8="WG Estimates",'Income (SE Wales)'!D34,'Income (SE Wales)'!V34)</f>
        <v>22473.94799635679</v>
      </c>
      <c r="AD34" s="4">
        <f>IF('Tenure Split (WALES)'!$D$8="WG Estimates",'Income (SE Wales)'!E34,'Income (SE Wales)'!W34)</f>
        <v>22983.756269033802</v>
      </c>
      <c r="AE34" s="4">
        <f>IF('Tenure Split (WALES)'!$D$8="WG Estimates",'Income (SE Wales)'!F34,'Income (SE Wales)'!X34)</f>
        <v>23667.91994385358</v>
      </c>
      <c r="AF34" s="4">
        <f>IF('Tenure Split (WALES)'!$D$8="WG Estimates",'Income (SE Wales)'!G34,'Income (SE Wales)'!Y34)</f>
        <v>24473.603429532115</v>
      </c>
      <c r="AG34" s="4">
        <f>IF('Tenure Split (WALES)'!$D$8="WG Estimates",'Income (SE Wales)'!H34,'Income (SE Wales)'!Z34)</f>
        <v>25330.389216386648</v>
      </c>
    </row>
    <row r="35" spans="2:33" x14ac:dyDescent="0.25">
      <c r="B35" s="20">
        <v>41</v>
      </c>
      <c r="C35" s="59">
        <v>22214.5</v>
      </c>
      <c r="D35" s="59">
        <f>C35*(1+'Tenure Split (SE Wales)'!C$109)+(C$44*(-(50-$B35)*('Tenure Split (SE Wales)'!C$110/40)))</f>
        <v>22941.260872739054</v>
      </c>
      <c r="E35" s="59">
        <f>D35*(1+'Tenure Split (SE Wales)'!D$109)+(D$44*(-(50-$B35)*('Tenure Split (SE Wales)'!D$110/40)))</f>
        <v>23469.886695168509</v>
      </c>
      <c r="F35" s="59">
        <f>E35*(1+'Tenure Split (SE Wales)'!E$109)+(E$44*(-(50-$B35)*('Tenure Split (SE Wales)'!E$110/40)))</f>
        <v>24176.974186726566</v>
      </c>
      <c r="G35" s="59">
        <f>F35*(1+'Tenure Split (SE Wales)'!F$109)+(F$44*(-(50-$B35)*('Tenure Split (SE Wales)'!F$110/40)))</f>
        <v>25008.742533381072</v>
      </c>
      <c r="H35" s="60">
        <f>G35*(1+'Tenure Split (SE Wales)'!G$109)+(G$44*(-(50-$B35)*('Tenure Split (SE Wales)'!G$110/40)))</f>
        <v>25893.370300786944</v>
      </c>
      <c r="L35" s="64" t="str">
        <f t="shared" si="0"/>
        <v/>
      </c>
      <c r="M35" s="251"/>
      <c r="N35" s="14">
        <f t="shared" si="3"/>
        <v>1</v>
      </c>
      <c r="T35" s="1">
        <f t="shared" si="1"/>
        <v>41</v>
      </c>
      <c r="U35" s="4" t="str">
        <f t="shared" si="2"/>
        <v/>
      </c>
      <c r="V35" s="59" t="e">
        <f>IF($K$4=$V$3,M35,U35*(1+'Tenure Split (SE Wales)'!C$109)+(U$44*(-(50-$B35)*('Tenure Split (SE Wales)'!C$110/40))))</f>
        <v>#VALUE!</v>
      </c>
      <c r="W35" s="59" t="e">
        <f>V35*(1+'Tenure Split (SE Wales)'!D$109)+(V$44*(-(50-$B35)*('Tenure Split (SE Wales)'!D$110/40)))</f>
        <v>#VALUE!</v>
      </c>
      <c r="X35" s="59" t="e">
        <f>W35*(1+'Tenure Split (SE Wales)'!E$109)+(W$44*(-(50-$B35)*('Tenure Split (SE Wales)'!E$110/40)))</f>
        <v>#VALUE!</v>
      </c>
      <c r="Y35" s="59" t="e">
        <f>X35*(1+'Tenure Split (SE Wales)'!F$109)+(X$44*(-(50-$B35)*('Tenure Split (SE Wales)'!F$110/40)))</f>
        <v>#VALUE!</v>
      </c>
      <c r="Z35" s="59" t="e">
        <f>Y35*(1+'Tenure Split (SE Wales)'!G$109)+(Y$44*(-(50-$B35)*('Tenure Split (SE Wales)'!G$110/40)))</f>
        <v>#VALUE!</v>
      </c>
      <c r="AB35" s="1">
        <v>41</v>
      </c>
      <c r="AC35" s="4">
        <f>IF('Tenure Split (WALES)'!$D$8="WG Estimates",'Income (SE Wales)'!D35,'Income (SE Wales)'!V35)</f>
        <v>22941.260872739054</v>
      </c>
      <c r="AD35" s="4">
        <f>IF('Tenure Split (WALES)'!$D$8="WG Estimates",'Income (SE Wales)'!E35,'Income (SE Wales)'!W35)</f>
        <v>23469.886695168509</v>
      </c>
      <c r="AE35" s="4">
        <f>IF('Tenure Split (WALES)'!$D$8="WG Estimates",'Income (SE Wales)'!F35,'Income (SE Wales)'!X35)</f>
        <v>24176.974186726566</v>
      </c>
      <c r="AF35" s="4">
        <f>IF('Tenure Split (WALES)'!$D$8="WG Estimates",'Income (SE Wales)'!G35,'Income (SE Wales)'!Y35)</f>
        <v>25008.742533381072</v>
      </c>
      <c r="AG35" s="4">
        <f>IF('Tenure Split (WALES)'!$D$8="WG Estimates",'Income (SE Wales)'!H35,'Income (SE Wales)'!Z35)</f>
        <v>25893.370300786944</v>
      </c>
    </row>
    <row r="36" spans="2:33" x14ac:dyDescent="0.25">
      <c r="B36" s="20">
        <v>42</v>
      </c>
      <c r="C36" s="59">
        <v>22725</v>
      </c>
      <c r="D36" s="59">
        <f>C36*(1+'Tenure Split (SE Wales)'!C$109)+(C$44*(-(50-$B36)*('Tenure Split (SE Wales)'!C$110/40)))</f>
        <v>23476.390966375344</v>
      </c>
      <c r="E36" s="59">
        <f>D36*(1+'Tenure Split (SE Wales)'!D$109)+(D$44*(-(50-$B36)*('Tenure Split (SE Wales)'!D$110/40)))</f>
        <v>24025.578000219288</v>
      </c>
      <c r="F36" s="59">
        <f>E36*(1+'Tenure Split (SE Wales)'!E$109)+(E$44*(-(50-$B36)*('Tenure Split (SE Wales)'!E$110/40)))</f>
        <v>24757.871114830166</v>
      </c>
      <c r="G36" s="59">
        <f>F36*(1+'Tenure Split (SE Wales)'!F$109)+(F$44*(-(50-$B36)*('Tenure Split (SE Wales)'!F$110/40)))</f>
        <v>25618.388669692711</v>
      </c>
      <c r="H36" s="60">
        <f>G36*(1+'Tenure Split (SE Wales)'!G$109)+(G$44*(-(50-$B36)*('Tenure Split (SE Wales)'!G$110/40)))</f>
        <v>26533.694320939463</v>
      </c>
      <c r="L36" s="64" t="str">
        <f t="shared" si="0"/>
        <v/>
      </c>
      <c r="M36" s="251"/>
      <c r="N36" s="14">
        <f t="shared" si="3"/>
        <v>1</v>
      </c>
      <c r="T36" s="1">
        <f t="shared" si="1"/>
        <v>42</v>
      </c>
      <c r="U36" s="4" t="str">
        <f t="shared" si="2"/>
        <v/>
      </c>
      <c r="V36" s="59" t="e">
        <f>IF($K$4=$V$3,M36,U36*(1+'Tenure Split (SE Wales)'!C$109)+(U$44*(-(50-$B36)*('Tenure Split (SE Wales)'!C$110/40))))</f>
        <v>#VALUE!</v>
      </c>
      <c r="W36" s="59" t="e">
        <f>V36*(1+'Tenure Split (SE Wales)'!D$109)+(V$44*(-(50-$B36)*('Tenure Split (SE Wales)'!D$110/40)))</f>
        <v>#VALUE!</v>
      </c>
      <c r="X36" s="59" t="e">
        <f>W36*(1+'Tenure Split (SE Wales)'!E$109)+(W$44*(-(50-$B36)*('Tenure Split (SE Wales)'!E$110/40)))</f>
        <v>#VALUE!</v>
      </c>
      <c r="Y36" s="59" t="e">
        <f>X36*(1+'Tenure Split (SE Wales)'!F$109)+(X$44*(-(50-$B36)*('Tenure Split (SE Wales)'!F$110/40)))</f>
        <v>#VALUE!</v>
      </c>
      <c r="Z36" s="59" t="e">
        <f>Y36*(1+'Tenure Split (SE Wales)'!G$109)+(Y$44*(-(50-$B36)*('Tenure Split (SE Wales)'!G$110/40)))</f>
        <v>#VALUE!</v>
      </c>
      <c r="AB36" s="1">
        <v>42</v>
      </c>
      <c r="AC36" s="4">
        <f>IF('Tenure Split (WALES)'!$D$8="WG Estimates",'Income (SE Wales)'!D36,'Income (SE Wales)'!V36)</f>
        <v>23476.390966375344</v>
      </c>
      <c r="AD36" s="4">
        <f>IF('Tenure Split (WALES)'!$D$8="WG Estimates",'Income (SE Wales)'!E36,'Income (SE Wales)'!W36)</f>
        <v>24025.578000219288</v>
      </c>
      <c r="AE36" s="4">
        <f>IF('Tenure Split (WALES)'!$D$8="WG Estimates",'Income (SE Wales)'!F36,'Income (SE Wales)'!X36)</f>
        <v>24757.871114830166</v>
      </c>
      <c r="AF36" s="4">
        <f>IF('Tenure Split (WALES)'!$D$8="WG Estimates",'Income (SE Wales)'!G36,'Income (SE Wales)'!Y36)</f>
        <v>25618.388669692711</v>
      </c>
      <c r="AG36" s="4">
        <f>IF('Tenure Split (WALES)'!$D$8="WG Estimates",'Income (SE Wales)'!H36,'Income (SE Wales)'!Z36)</f>
        <v>26533.694320939463</v>
      </c>
    </row>
    <row r="37" spans="2:33" x14ac:dyDescent="0.25">
      <c r="B37" s="20">
        <v>43</v>
      </c>
      <c r="C37" s="59">
        <v>23192</v>
      </c>
      <c r="D37" s="59">
        <f>C37*(1+'Tenure Split (SE Wales)'!C$109)+(C$44*(-(50-$B37)*('Tenure Split (SE Wales)'!C$110/40)))</f>
        <v>23966.482144736063</v>
      </c>
      <c r="E37" s="59">
        <f>D37*(1+'Tenure Split (SE Wales)'!D$109)+(D$44*(-(50-$B37)*('Tenure Split (SE Wales)'!D$110/40)))</f>
        <v>24535.072385684587</v>
      </c>
      <c r="F37" s="59">
        <f>E37*(1+'Tenure Split (SE Wales)'!E$109)+(E$44*(-(50-$B37)*('Tenure Split (SE Wales)'!E$110/40)))</f>
        <v>25291.055725261525</v>
      </c>
      <c r="G37" s="59">
        <f>F37*(1+'Tenure Split (SE Wales)'!F$109)+(F$44*(-(50-$B37)*('Tenure Split (SE Wales)'!F$110/40)))</f>
        <v>26178.553036353558</v>
      </c>
      <c r="H37" s="60">
        <f>G37*(1+'Tenure Split (SE Wales)'!G$109)+(G$44*(-(50-$B37)*('Tenure Split (SE Wales)'!G$110/40)))</f>
        <v>27122.653185287068</v>
      </c>
      <c r="L37" s="64" t="str">
        <f t="shared" si="0"/>
        <v/>
      </c>
      <c r="M37" s="251"/>
      <c r="N37" s="14">
        <f t="shared" si="3"/>
        <v>1</v>
      </c>
      <c r="T37" s="1">
        <f t="shared" si="1"/>
        <v>43</v>
      </c>
      <c r="U37" s="4" t="str">
        <f t="shared" si="2"/>
        <v/>
      </c>
      <c r="V37" s="59" t="e">
        <f>IF($K$4=$V$3,M37,U37*(1+'Tenure Split (SE Wales)'!C$109)+(U$44*(-(50-$B37)*('Tenure Split (SE Wales)'!C$110/40))))</f>
        <v>#VALUE!</v>
      </c>
      <c r="W37" s="59" t="e">
        <f>V37*(1+'Tenure Split (SE Wales)'!D$109)+(V$44*(-(50-$B37)*('Tenure Split (SE Wales)'!D$110/40)))</f>
        <v>#VALUE!</v>
      </c>
      <c r="X37" s="59" t="e">
        <f>W37*(1+'Tenure Split (SE Wales)'!E$109)+(W$44*(-(50-$B37)*('Tenure Split (SE Wales)'!E$110/40)))</f>
        <v>#VALUE!</v>
      </c>
      <c r="Y37" s="59" t="e">
        <f>X37*(1+'Tenure Split (SE Wales)'!F$109)+(X$44*(-(50-$B37)*('Tenure Split (SE Wales)'!F$110/40)))</f>
        <v>#VALUE!</v>
      </c>
      <c r="Z37" s="59" t="e">
        <f>Y37*(1+'Tenure Split (SE Wales)'!G$109)+(Y$44*(-(50-$B37)*('Tenure Split (SE Wales)'!G$110/40)))</f>
        <v>#VALUE!</v>
      </c>
      <c r="AB37" s="1">
        <v>43</v>
      </c>
      <c r="AC37" s="4">
        <f>IF('Tenure Split (WALES)'!$D$8="WG Estimates",'Income (SE Wales)'!D37,'Income (SE Wales)'!V37)</f>
        <v>23966.482144736063</v>
      </c>
      <c r="AD37" s="4">
        <f>IF('Tenure Split (WALES)'!$D$8="WG Estimates",'Income (SE Wales)'!E37,'Income (SE Wales)'!W37)</f>
        <v>24535.072385684587</v>
      </c>
      <c r="AE37" s="4">
        <f>IF('Tenure Split (WALES)'!$D$8="WG Estimates",'Income (SE Wales)'!F37,'Income (SE Wales)'!X37)</f>
        <v>25291.055725261525</v>
      </c>
      <c r="AF37" s="4">
        <f>IF('Tenure Split (WALES)'!$D$8="WG Estimates",'Income (SE Wales)'!G37,'Income (SE Wales)'!Y37)</f>
        <v>26178.553036353558</v>
      </c>
      <c r="AG37" s="4">
        <f>IF('Tenure Split (WALES)'!$D$8="WG Estimates",'Income (SE Wales)'!H37,'Income (SE Wales)'!Z37)</f>
        <v>27122.653185287068</v>
      </c>
    </row>
    <row r="38" spans="2:33" x14ac:dyDescent="0.25">
      <c r="B38" s="20">
        <v>44</v>
      </c>
      <c r="C38" s="59">
        <v>23737.5</v>
      </c>
      <c r="D38" s="59">
        <f>C38*(1+'Tenure Split (SE Wales)'!C$109)+(C$44*(-(50-$B38)*('Tenure Split (SE Wales)'!C$110/40)))</f>
        <v>24537.850446065335</v>
      </c>
      <c r="E38" s="59">
        <f>D38*(1+'Tenure Split (SE Wales)'!D$109)+(D$44*(-(50-$B38)*('Tenure Split (SE Wales)'!D$110/40)))</f>
        <v>25127.933626034031</v>
      </c>
      <c r="F38" s="59">
        <f>E38*(1+'Tenure Split (SE Wales)'!E$109)+(E$44*(-(50-$B38)*('Tenure Split (SE Wales)'!E$110/40)))</f>
        <v>25910.341874480728</v>
      </c>
      <c r="G38" s="59">
        <f>F38*(1+'Tenure Split (SE Wales)'!F$109)+(F$44*(-(50-$B38)*('Tenure Split (SE Wales)'!F$110/40)))</f>
        <v>26828.012090775032</v>
      </c>
      <c r="H38" s="60">
        <f>G38*(1+'Tenure Split (SE Wales)'!G$109)+(G$44*(-(50-$B38)*('Tenure Split (SE Wales)'!G$110/40)))</f>
        <v>27804.305491719406</v>
      </c>
      <c r="L38" s="64" t="str">
        <f t="shared" si="0"/>
        <v/>
      </c>
      <c r="M38" s="251"/>
      <c r="N38" s="14">
        <f t="shared" si="3"/>
        <v>1</v>
      </c>
      <c r="T38" s="1">
        <f t="shared" si="1"/>
        <v>44</v>
      </c>
      <c r="U38" s="4" t="str">
        <f t="shared" si="2"/>
        <v/>
      </c>
      <c r="V38" s="59" t="e">
        <f>IF($K$4=$V$3,M38,U38*(1+'Tenure Split (SE Wales)'!C$109)+(U$44*(-(50-$B38)*('Tenure Split (SE Wales)'!C$110/40))))</f>
        <v>#VALUE!</v>
      </c>
      <c r="W38" s="59" t="e">
        <f>V38*(1+'Tenure Split (SE Wales)'!D$109)+(V$44*(-(50-$B38)*('Tenure Split (SE Wales)'!D$110/40)))</f>
        <v>#VALUE!</v>
      </c>
      <c r="X38" s="59" t="e">
        <f>W38*(1+'Tenure Split (SE Wales)'!E$109)+(W$44*(-(50-$B38)*('Tenure Split (SE Wales)'!E$110/40)))</f>
        <v>#VALUE!</v>
      </c>
      <c r="Y38" s="59" t="e">
        <f>X38*(1+'Tenure Split (SE Wales)'!F$109)+(X$44*(-(50-$B38)*('Tenure Split (SE Wales)'!F$110/40)))</f>
        <v>#VALUE!</v>
      </c>
      <c r="Z38" s="59" t="e">
        <f>Y38*(1+'Tenure Split (SE Wales)'!G$109)+(Y$44*(-(50-$B38)*('Tenure Split (SE Wales)'!G$110/40)))</f>
        <v>#VALUE!</v>
      </c>
      <c r="AB38" s="1">
        <v>44</v>
      </c>
      <c r="AC38" s="4">
        <f>IF('Tenure Split (WALES)'!$D$8="WG Estimates",'Income (SE Wales)'!D38,'Income (SE Wales)'!V38)</f>
        <v>24537.850446065335</v>
      </c>
      <c r="AD38" s="4">
        <f>IF('Tenure Split (WALES)'!$D$8="WG Estimates",'Income (SE Wales)'!E38,'Income (SE Wales)'!W38)</f>
        <v>25127.933626034031</v>
      </c>
      <c r="AE38" s="4">
        <f>IF('Tenure Split (WALES)'!$D$8="WG Estimates",'Income (SE Wales)'!F38,'Income (SE Wales)'!X38)</f>
        <v>25910.341874480728</v>
      </c>
      <c r="AF38" s="4">
        <f>IF('Tenure Split (WALES)'!$D$8="WG Estimates",'Income (SE Wales)'!G38,'Income (SE Wales)'!Y38)</f>
        <v>26828.012090775032</v>
      </c>
      <c r="AG38" s="4">
        <f>IF('Tenure Split (WALES)'!$D$8="WG Estimates",'Income (SE Wales)'!H38,'Income (SE Wales)'!Z38)</f>
        <v>27804.305491719406</v>
      </c>
    </row>
    <row r="39" spans="2:33" x14ac:dyDescent="0.25">
      <c r="B39" s="20">
        <v>45</v>
      </c>
      <c r="C39" s="59">
        <v>24264.5</v>
      </c>
      <c r="D39" s="59">
        <f>C39*(1+'Tenure Split (SE Wales)'!C$109)+(C$44*(-(50-$B39)*('Tenure Split (SE Wales)'!C$110/40)))</f>
        <v>25090.064266185458</v>
      </c>
      <c r="E39" s="59">
        <f>D39*(1+'Tenure Split (SE Wales)'!D$109)+(D$44*(-(50-$B39)*('Tenure Split (SE Wales)'!D$110/40)))</f>
        <v>25701.147900582753</v>
      </c>
      <c r="F39" s="59">
        <f>E39*(1+'Tenure Split (SE Wales)'!E$109)+(E$44*(-(50-$B39)*('Tenure Split (SE Wales)'!E$110/40)))</f>
        <v>26509.336578253111</v>
      </c>
      <c r="G39" s="59">
        <f>F39*(1+'Tenure Split (SE Wales)'!F$109)+(F$44*(-(50-$B39)*('Tenure Split (SE Wales)'!F$110/40)))</f>
        <v>27456.427174195593</v>
      </c>
      <c r="H39" s="60">
        <f>G39*(1+'Tenure Split (SE Wales)'!G$109)+(G$44*(-(50-$B39)*('Tenure Split (SE Wales)'!G$110/40)))</f>
        <v>28464.112846832413</v>
      </c>
      <c r="L39" s="64" t="str">
        <f t="shared" si="0"/>
        <v/>
      </c>
      <c r="M39" s="251"/>
      <c r="N39" s="14">
        <f t="shared" si="3"/>
        <v>1</v>
      </c>
      <c r="T39" s="1">
        <f t="shared" si="1"/>
        <v>45</v>
      </c>
      <c r="U39" s="4" t="str">
        <f t="shared" si="2"/>
        <v/>
      </c>
      <c r="V39" s="59" t="e">
        <f>IF($K$4=$V$3,M39,U39*(1+'Tenure Split (SE Wales)'!C$109)+(U$44*(-(50-$B39)*('Tenure Split (SE Wales)'!C$110/40))))</f>
        <v>#VALUE!</v>
      </c>
      <c r="W39" s="59" t="e">
        <f>V39*(1+'Tenure Split (SE Wales)'!D$109)+(V$44*(-(50-$B39)*('Tenure Split (SE Wales)'!D$110/40)))</f>
        <v>#VALUE!</v>
      </c>
      <c r="X39" s="59" t="e">
        <f>W39*(1+'Tenure Split (SE Wales)'!E$109)+(W$44*(-(50-$B39)*('Tenure Split (SE Wales)'!E$110/40)))</f>
        <v>#VALUE!</v>
      </c>
      <c r="Y39" s="59" t="e">
        <f>X39*(1+'Tenure Split (SE Wales)'!F$109)+(X$44*(-(50-$B39)*('Tenure Split (SE Wales)'!F$110/40)))</f>
        <v>#VALUE!</v>
      </c>
      <c r="Z39" s="59" t="e">
        <f>Y39*(1+'Tenure Split (SE Wales)'!G$109)+(Y$44*(-(50-$B39)*('Tenure Split (SE Wales)'!G$110/40)))</f>
        <v>#VALUE!</v>
      </c>
      <c r="AB39" s="1">
        <v>45</v>
      </c>
      <c r="AC39" s="4">
        <f>IF('Tenure Split (WALES)'!$D$8="WG Estimates",'Income (SE Wales)'!D39,'Income (SE Wales)'!V39)</f>
        <v>25090.064266185458</v>
      </c>
      <c r="AD39" s="4">
        <f>IF('Tenure Split (WALES)'!$D$8="WG Estimates",'Income (SE Wales)'!E39,'Income (SE Wales)'!W39)</f>
        <v>25701.147900582753</v>
      </c>
      <c r="AE39" s="4">
        <f>IF('Tenure Split (WALES)'!$D$8="WG Estimates",'Income (SE Wales)'!F39,'Income (SE Wales)'!X39)</f>
        <v>26509.336578253111</v>
      </c>
      <c r="AF39" s="4">
        <f>IF('Tenure Split (WALES)'!$D$8="WG Estimates",'Income (SE Wales)'!G39,'Income (SE Wales)'!Y39)</f>
        <v>27456.427174195593</v>
      </c>
      <c r="AG39" s="4">
        <f>IF('Tenure Split (WALES)'!$D$8="WG Estimates",'Income (SE Wales)'!H39,'Income (SE Wales)'!Z39)</f>
        <v>28464.112846832413</v>
      </c>
    </row>
    <row r="40" spans="2:33" x14ac:dyDescent="0.25">
      <c r="B40" s="20">
        <v>46</v>
      </c>
      <c r="C40" s="59">
        <v>24759.82</v>
      </c>
      <c r="D40" s="59">
        <f>C40*(1+'Tenure Split (SE Wales)'!C$109)+(C$44*(-(50-$B40)*('Tenure Split (SE Wales)'!C$110/40)))</f>
        <v>25609.477331456616</v>
      </c>
      <c r="E40" s="59">
        <f>D40*(1+'Tenure Split (SE Wales)'!D$109)+(D$44*(-(50-$B40)*('Tenure Split (SE Wales)'!D$110/40)))</f>
        <v>26240.718073695421</v>
      </c>
      <c r="F40" s="59">
        <f>E40*(1+'Tenure Split (SE Wales)'!E$109)+(E$44*(-(50-$B40)*('Tenure Split (SE Wales)'!E$110/40)))</f>
        <v>27073.583552741427</v>
      </c>
      <c r="G40" s="59">
        <f>F40*(1+'Tenure Split (SE Wales)'!F$109)+(F$44*(-(50-$B40)*('Tenure Split (SE Wales)'!F$110/40)))</f>
        <v>28048.805879167023</v>
      </c>
      <c r="H40" s="60">
        <f>G40*(1+'Tenure Split (SE Wales)'!G$109)+(G$44*(-(50-$B40)*('Tenure Split (SE Wales)'!G$110/40)))</f>
        <v>29086.512198821285</v>
      </c>
      <c r="L40" s="64" t="str">
        <f t="shared" si="0"/>
        <v/>
      </c>
      <c r="M40" s="251"/>
      <c r="N40" s="14">
        <f t="shared" si="3"/>
        <v>1</v>
      </c>
      <c r="T40" s="1">
        <f t="shared" si="1"/>
        <v>46</v>
      </c>
      <c r="U40" s="4" t="str">
        <f t="shared" si="2"/>
        <v/>
      </c>
      <c r="V40" s="59" t="e">
        <f>IF($K$4=$V$3,M40,U40*(1+'Tenure Split (SE Wales)'!C$109)+(U$44*(-(50-$B40)*('Tenure Split (SE Wales)'!C$110/40))))</f>
        <v>#VALUE!</v>
      </c>
      <c r="W40" s="59" t="e">
        <f>V40*(1+'Tenure Split (SE Wales)'!D$109)+(V$44*(-(50-$B40)*('Tenure Split (SE Wales)'!D$110/40)))</f>
        <v>#VALUE!</v>
      </c>
      <c r="X40" s="59" t="e">
        <f>W40*(1+'Tenure Split (SE Wales)'!E$109)+(W$44*(-(50-$B40)*('Tenure Split (SE Wales)'!E$110/40)))</f>
        <v>#VALUE!</v>
      </c>
      <c r="Y40" s="59" t="e">
        <f>X40*(1+'Tenure Split (SE Wales)'!F$109)+(X$44*(-(50-$B40)*('Tenure Split (SE Wales)'!F$110/40)))</f>
        <v>#VALUE!</v>
      </c>
      <c r="Z40" s="59" t="e">
        <f>Y40*(1+'Tenure Split (SE Wales)'!G$109)+(Y$44*(-(50-$B40)*('Tenure Split (SE Wales)'!G$110/40)))</f>
        <v>#VALUE!</v>
      </c>
      <c r="AB40" s="1">
        <v>46</v>
      </c>
      <c r="AC40" s="4">
        <f>IF('Tenure Split (WALES)'!$D$8="WG Estimates",'Income (SE Wales)'!D40,'Income (SE Wales)'!V40)</f>
        <v>25609.477331456616</v>
      </c>
      <c r="AD40" s="4">
        <f>IF('Tenure Split (WALES)'!$D$8="WG Estimates",'Income (SE Wales)'!E40,'Income (SE Wales)'!W40)</f>
        <v>26240.718073695421</v>
      </c>
      <c r="AE40" s="4">
        <f>IF('Tenure Split (WALES)'!$D$8="WG Estimates",'Income (SE Wales)'!F40,'Income (SE Wales)'!X40)</f>
        <v>27073.583552741427</v>
      </c>
      <c r="AF40" s="4">
        <f>IF('Tenure Split (WALES)'!$D$8="WG Estimates",'Income (SE Wales)'!G40,'Income (SE Wales)'!Y40)</f>
        <v>28048.805879167023</v>
      </c>
      <c r="AG40" s="4">
        <f>IF('Tenure Split (WALES)'!$D$8="WG Estimates",'Income (SE Wales)'!H40,'Income (SE Wales)'!Z40)</f>
        <v>29086.512198821285</v>
      </c>
    </row>
    <row r="41" spans="2:33" x14ac:dyDescent="0.25">
      <c r="B41" s="20">
        <v>47</v>
      </c>
      <c r="C41" s="59">
        <v>24969.25</v>
      </c>
      <c r="D41" s="59">
        <f>C41*(1+'Tenure Split (SE Wales)'!C$109)+(C$44*(-(50-$B41)*('Tenure Split (SE Wales)'!C$110/40)))</f>
        <v>25832.886362517824</v>
      </c>
      <c r="E41" s="59">
        <f>D41*(1+'Tenure Split (SE Wales)'!D$109)+(D$44*(-(50-$B41)*('Tenure Split (SE Wales)'!D$110/40)))</f>
        <v>26476.673595307089</v>
      </c>
      <c r="F41" s="59">
        <f>E41*(1+'Tenure Split (SE Wales)'!E$109)+(E$44*(-(50-$B41)*('Tenure Split (SE Wales)'!E$110/40)))</f>
        <v>27324.256400808656</v>
      </c>
      <c r="G41" s="59">
        <f>F41*(1+'Tenure Split (SE Wales)'!F$109)+(F$44*(-(50-$B41)*('Tenure Split (SE Wales)'!F$110/40)))</f>
        <v>28315.981293897879</v>
      </c>
      <c r="H41" s="60">
        <f>G41*(1+'Tenure Split (SE Wales)'!G$109)+(G$44*(-(50-$B41)*('Tenure Split (SE Wales)'!G$110/40)))</f>
        <v>29371.330300394824</v>
      </c>
      <c r="L41" s="64" t="str">
        <f t="shared" si="0"/>
        <v/>
      </c>
      <c r="M41" s="251"/>
      <c r="N41" s="14">
        <f t="shared" si="3"/>
        <v>1</v>
      </c>
      <c r="T41" s="1">
        <f t="shared" si="1"/>
        <v>47</v>
      </c>
      <c r="U41" s="4" t="str">
        <f t="shared" si="2"/>
        <v/>
      </c>
      <c r="V41" s="59" t="e">
        <f>IF($K$4=$V$3,M41,U41*(1+'Tenure Split (SE Wales)'!C$109)+(U$44*(-(50-$B41)*('Tenure Split (SE Wales)'!C$110/40))))</f>
        <v>#VALUE!</v>
      </c>
      <c r="W41" s="59" t="e">
        <f>V41*(1+'Tenure Split (SE Wales)'!D$109)+(V$44*(-(50-$B41)*('Tenure Split (SE Wales)'!D$110/40)))</f>
        <v>#VALUE!</v>
      </c>
      <c r="X41" s="59" t="e">
        <f>W41*(1+'Tenure Split (SE Wales)'!E$109)+(W$44*(-(50-$B41)*('Tenure Split (SE Wales)'!E$110/40)))</f>
        <v>#VALUE!</v>
      </c>
      <c r="Y41" s="59" t="e">
        <f>X41*(1+'Tenure Split (SE Wales)'!F$109)+(X$44*(-(50-$B41)*('Tenure Split (SE Wales)'!F$110/40)))</f>
        <v>#VALUE!</v>
      </c>
      <c r="Z41" s="59" t="e">
        <f>Y41*(1+'Tenure Split (SE Wales)'!G$109)+(Y$44*(-(50-$B41)*('Tenure Split (SE Wales)'!G$110/40)))</f>
        <v>#VALUE!</v>
      </c>
      <c r="AB41" s="1">
        <v>47</v>
      </c>
      <c r="AC41" s="4">
        <f>IF('Tenure Split (WALES)'!$D$8="WG Estimates",'Income (SE Wales)'!D41,'Income (SE Wales)'!V41)</f>
        <v>25832.886362517824</v>
      </c>
      <c r="AD41" s="4">
        <f>IF('Tenure Split (WALES)'!$D$8="WG Estimates",'Income (SE Wales)'!E41,'Income (SE Wales)'!W41)</f>
        <v>26476.673595307089</v>
      </c>
      <c r="AE41" s="4">
        <f>IF('Tenure Split (WALES)'!$D$8="WG Estimates",'Income (SE Wales)'!F41,'Income (SE Wales)'!X41)</f>
        <v>27324.256400808656</v>
      </c>
      <c r="AF41" s="4">
        <f>IF('Tenure Split (WALES)'!$D$8="WG Estimates",'Income (SE Wales)'!G41,'Income (SE Wales)'!Y41)</f>
        <v>28315.981293897879</v>
      </c>
      <c r="AG41" s="4">
        <f>IF('Tenure Split (WALES)'!$D$8="WG Estimates",'Income (SE Wales)'!H41,'Income (SE Wales)'!Z41)</f>
        <v>29371.330300394824</v>
      </c>
    </row>
    <row r="42" spans="2:33" x14ac:dyDescent="0.25">
      <c r="B42" s="20">
        <v>48</v>
      </c>
      <c r="C42" s="59">
        <v>25525</v>
      </c>
      <c r="D42" s="59">
        <f>C42*(1+'Tenure Split (SE Wales)'!C$109)+(C$44*(-(50-$B42)*('Tenure Split (SE Wales)'!C$110/40)))</f>
        <v>26414.867281814331</v>
      </c>
      <c r="E42" s="59">
        <f>D42*(1+'Tenure Split (SE Wales)'!D$109)+(D$44*(-(50-$B42)*('Tenure Split (SE Wales)'!D$110/40)))</f>
        <v>27080.420316708289</v>
      </c>
      <c r="F42" s="59">
        <f>E42*(1+'Tenure Split (SE Wales)'!E$109)+(E$44*(-(50-$B42)*('Tenure Split (SE Wales)'!E$110/40)))</f>
        <v>27954.785107640284</v>
      </c>
      <c r="G42" s="59">
        <f>F42*(1+'Tenure Split (SE Wales)'!F$109)+(F$44*(-(50-$B42)*('Tenure Split (SE Wales)'!F$110/40)))</f>
        <v>28977.099845765806</v>
      </c>
      <c r="H42" s="60">
        <f>G42*(1+'Tenure Split (SE Wales)'!G$109)+(G$44*(-(50-$B42)*('Tenure Split (SE Wales)'!G$110/40)))</f>
        <v>30065.085890666251</v>
      </c>
      <c r="L42" s="64" t="str">
        <f t="shared" si="0"/>
        <v/>
      </c>
      <c r="M42" s="251"/>
      <c r="N42" s="14">
        <f t="shared" si="3"/>
        <v>1</v>
      </c>
      <c r="T42" s="1">
        <f t="shared" si="1"/>
        <v>48</v>
      </c>
      <c r="U42" s="4" t="str">
        <f t="shared" si="2"/>
        <v/>
      </c>
      <c r="V42" s="59" t="e">
        <f>IF($K$4=$V$3,M42,U42*(1+'Tenure Split (SE Wales)'!C$109)+(U$44*(-(50-$B42)*('Tenure Split (SE Wales)'!C$110/40))))</f>
        <v>#VALUE!</v>
      </c>
      <c r="W42" s="59" t="e">
        <f>V42*(1+'Tenure Split (SE Wales)'!D$109)+(V$44*(-(50-$B42)*('Tenure Split (SE Wales)'!D$110/40)))</f>
        <v>#VALUE!</v>
      </c>
      <c r="X42" s="59" t="e">
        <f>W42*(1+'Tenure Split (SE Wales)'!E$109)+(W$44*(-(50-$B42)*('Tenure Split (SE Wales)'!E$110/40)))</f>
        <v>#VALUE!</v>
      </c>
      <c r="Y42" s="59" t="e">
        <f>X42*(1+'Tenure Split (SE Wales)'!F$109)+(X$44*(-(50-$B42)*('Tenure Split (SE Wales)'!F$110/40)))</f>
        <v>#VALUE!</v>
      </c>
      <c r="Z42" s="59" t="e">
        <f>Y42*(1+'Tenure Split (SE Wales)'!G$109)+(Y$44*(-(50-$B42)*('Tenure Split (SE Wales)'!G$110/40)))</f>
        <v>#VALUE!</v>
      </c>
      <c r="AB42" s="1">
        <v>48</v>
      </c>
      <c r="AC42" s="4">
        <f>IF('Tenure Split (WALES)'!$D$8="WG Estimates",'Income (SE Wales)'!D42,'Income (SE Wales)'!V42)</f>
        <v>26414.867281814331</v>
      </c>
      <c r="AD42" s="4">
        <f>IF('Tenure Split (WALES)'!$D$8="WG Estimates",'Income (SE Wales)'!E42,'Income (SE Wales)'!W42)</f>
        <v>27080.420316708289</v>
      </c>
      <c r="AE42" s="4">
        <f>IF('Tenure Split (WALES)'!$D$8="WG Estimates",'Income (SE Wales)'!F42,'Income (SE Wales)'!X42)</f>
        <v>27954.785107640284</v>
      </c>
      <c r="AF42" s="4">
        <f>IF('Tenure Split (WALES)'!$D$8="WG Estimates",'Income (SE Wales)'!G42,'Income (SE Wales)'!Y42)</f>
        <v>28977.099845765806</v>
      </c>
      <c r="AG42" s="4">
        <f>IF('Tenure Split (WALES)'!$D$8="WG Estimates",'Income (SE Wales)'!H42,'Income (SE Wales)'!Z42)</f>
        <v>30065.085890666251</v>
      </c>
    </row>
    <row r="43" spans="2:33" x14ac:dyDescent="0.25">
      <c r="B43" s="20">
        <v>49</v>
      </c>
      <c r="C43" s="59">
        <v>25915</v>
      </c>
      <c r="D43" s="59">
        <f>C43*(1+'Tenure Split (SE Wales)'!C$109)+(C$44*(-(50-$B43)*('Tenure Split (SE Wales)'!C$110/40)))</f>
        <v>26825.234403250473</v>
      </c>
      <c r="E43" s="59">
        <f>D43*(1+'Tenure Split (SE Wales)'!D$109)+(D$44*(-(50-$B43)*('Tenure Split (SE Wales)'!D$110/40)))</f>
        <v>27508.140844516518</v>
      </c>
      <c r="F43" s="59">
        <f>E43*(1+'Tenure Split (SE Wales)'!E$109)+(E$44*(-(50-$B43)*('Tenure Split (SE Wales)'!E$110/40)))</f>
        <v>28403.513431617321</v>
      </c>
      <c r="G43" s="59">
        <f>F43*(1+'Tenure Split (SE Wales)'!F$109)+(F$44*(-(50-$B43)*('Tenure Split (SE Wales)'!F$110/40)))</f>
        <v>29449.675792585018</v>
      </c>
      <c r="H43" s="60">
        <f>G43*(1+'Tenure Split (SE Wales)'!G$109)+(G$44*(-(50-$B43)*('Tenure Split (SE Wales)'!G$110/40)))</f>
        <v>30563.122525198258</v>
      </c>
      <c r="L43" s="64" t="str">
        <f t="shared" si="0"/>
        <v/>
      </c>
      <c r="M43" s="251"/>
      <c r="N43" s="14">
        <f t="shared" si="3"/>
        <v>1</v>
      </c>
      <c r="T43" s="1">
        <f t="shared" si="1"/>
        <v>49</v>
      </c>
      <c r="U43" s="4" t="str">
        <f t="shared" si="2"/>
        <v/>
      </c>
      <c r="V43" s="59" t="e">
        <f>IF($K$4=$V$3,M43,U43*(1+'Tenure Split (SE Wales)'!C$109)+(U$44*(-(50-$B43)*('Tenure Split (SE Wales)'!C$110/40))))</f>
        <v>#VALUE!</v>
      </c>
      <c r="W43" s="59" t="e">
        <f>V43*(1+'Tenure Split (SE Wales)'!D$109)+(V$44*(-(50-$B43)*('Tenure Split (SE Wales)'!D$110/40)))</f>
        <v>#VALUE!</v>
      </c>
      <c r="X43" s="59" t="e">
        <f>W43*(1+'Tenure Split (SE Wales)'!E$109)+(W$44*(-(50-$B43)*('Tenure Split (SE Wales)'!E$110/40)))</f>
        <v>#VALUE!</v>
      </c>
      <c r="Y43" s="59" t="e">
        <f>X43*(1+'Tenure Split (SE Wales)'!F$109)+(X$44*(-(50-$B43)*('Tenure Split (SE Wales)'!F$110/40)))</f>
        <v>#VALUE!</v>
      </c>
      <c r="Z43" s="59" t="e">
        <f>Y43*(1+'Tenure Split (SE Wales)'!G$109)+(Y$44*(-(50-$B43)*('Tenure Split (SE Wales)'!G$110/40)))</f>
        <v>#VALUE!</v>
      </c>
      <c r="AB43" s="1">
        <v>49</v>
      </c>
      <c r="AC43" s="4">
        <f>IF('Tenure Split (WALES)'!$D$8="WG Estimates",'Income (SE Wales)'!D43,'Income (SE Wales)'!V43)</f>
        <v>26825.234403250473</v>
      </c>
      <c r="AD43" s="4">
        <f>IF('Tenure Split (WALES)'!$D$8="WG Estimates",'Income (SE Wales)'!E43,'Income (SE Wales)'!W43)</f>
        <v>27508.140844516518</v>
      </c>
      <c r="AE43" s="4">
        <f>IF('Tenure Split (WALES)'!$D$8="WG Estimates",'Income (SE Wales)'!F43,'Income (SE Wales)'!X43)</f>
        <v>28403.513431617321</v>
      </c>
      <c r="AF43" s="4">
        <f>IF('Tenure Split (WALES)'!$D$8="WG Estimates",'Income (SE Wales)'!G43,'Income (SE Wales)'!Y43)</f>
        <v>29449.675792585018</v>
      </c>
      <c r="AG43" s="4">
        <f>IF('Tenure Split (WALES)'!$D$8="WG Estimates",'Income (SE Wales)'!H43,'Income (SE Wales)'!Z43)</f>
        <v>30563.122525198258</v>
      </c>
    </row>
    <row r="44" spans="2:33" x14ac:dyDescent="0.25">
      <c r="B44" s="20">
        <v>50</v>
      </c>
      <c r="C44" s="59">
        <v>26279.8</v>
      </c>
      <c r="D44" s="59">
        <f>C44*(1+'Tenure Split (SE Wales)'!C$109)+(C$44*(-(50-$B44)*('Tenure Split (SE Wales)'!C$110/40)))</f>
        <v>27209.510015147669</v>
      </c>
      <c r="E44" s="59">
        <f>D44*(1+'Tenure Split (SE Wales)'!D$109)+(D$44*(-(50-$B44)*('Tenure Split (SE Wales)'!D$110/40)))</f>
        <v>27909.099018909717</v>
      </c>
      <c r="F44" s="59">
        <f>E44*(1+'Tenure Split (SE Wales)'!E$109)+(E$44*(-(50-$B44)*('Tenure Split (SE Wales)'!E$110/40)))</f>
        <v>28824.601516391136</v>
      </c>
      <c r="G44" s="59">
        <f>F44*(1+'Tenure Split (SE Wales)'!F$109)+(F$44*(-(50-$B44)*('Tenure Split (SE Wales)'!F$110/40)))</f>
        <v>29893.586438365157</v>
      </c>
      <c r="H44" s="60">
        <f>G44*(1+'Tenure Split (SE Wales)'!G$109)+(G$44*(-(50-$B44)*('Tenure Split (SE Wales)'!G$110/40)))</f>
        <v>31031.402793608806</v>
      </c>
      <c r="L44" s="64" t="str">
        <f t="shared" si="0"/>
        <v/>
      </c>
      <c r="M44" s="251"/>
      <c r="N44" s="14">
        <f t="shared" si="3"/>
        <v>1</v>
      </c>
      <c r="T44" s="1">
        <f t="shared" si="1"/>
        <v>50</v>
      </c>
      <c r="U44" s="4" t="str">
        <f t="shared" si="2"/>
        <v/>
      </c>
      <c r="V44" s="59" t="e">
        <f>IF($K$4=$V$3,M44,U44*(1+'Tenure Split (SE Wales)'!C$109)+(U$44*(-(50-$B44)*('Tenure Split (SE Wales)'!C$110/40))))</f>
        <v>#VALUE!</v>
      </c>
      <c r="W44" s="59" t="e">
        <f>V44*(1+'Tenure Split (SE Wales)'!D$109)+(V$44*(-(50-$B44)*('Tenure Split (SE Wales)'!D$110/40)))</f>
        <v>#VALUE!</v>
      </c>
      <c r="X44" s="59" t="e">
        <f>W44*(1+'Tenure Split (SE Wales)'!E$109)+(W$44*(-(50-$B44)*('Tenure Split (SE Wales)'!E$110/40)))</f>
        <v>#VALUE!</v>
      </c>
      <c r="Y44" s="59" t="e">
        <f>X44*(1+'Tenure Split (SE Wales)'!F$109)+(X$44*(-(50-$B44)*('Tenure Split (SE Wales)'!F$110/40)))</f>
        <v>#VALUE!</v>
      </c>
      <c r="Z44" s="59" t="e">
        <f>Y44*(1+'Tenure Split (SE Wales)'!G$109)+(Y$44*(-(50-$B44)*('Tenure Split (SE Wales)'!G$110/40)))</f>
        <v>#VALUE!</v>
      </c>
      <c r="AB44" s="1">
        <v>50</v>
      </c>
      <c r="AC44" s="4">
        <f>IF('Tenure Split (WALES)'!$D$8="WG Estimates",'Income (SE Wales)'!D44,'Income (SE Wales)'!V44)</f>
        <v>27209.510015147669</v>
      </c>
      <c r="AD44" s="4">
        <f>IF('Tenure Split (WALES)'!$D$8="WG Estimates",'Income (SE Wales)'!E44,'Income (SE Wales)'!W44)</f>
        <v>27909.099018909717</v>
      </c>
      <c r="AE44" s="4">
        <f>IF('Tenure Split (WALES)'!$D$8="WG Estimates",'Income (SE Wales)'!F44,'Income (SE Wales)'!X44)</f>
        <v>28824.601516391136</v>
      </c>
      <c r="AF44" s="4">
        <f>IF('Tenure Split (WALES)'!$D$8="WG Estimates",'Income (SE Wales)'!G44,'Income (SE Wales)'!Y44)</f>
        <v>29893.586438365157</v>
      </c>
      <c r="AG44" s="4">
        <f>IF('Tenure Split (WALES)'!$D$8="WG Estimates",'Income (SE Wales)'!H44,'Income (SE Wales)'!Z44)</f>
        <v>31031.402793608806</v>
      </c>
    </row>
    <row r="45" spans="2:33" x14ac:dyDescent="0.25">
      <c r="B45" s="20">
        <v>51</v>
      </c>
      <c r="C45" s="59">
        <v>26770</v>
      </c>
      <c r="D45" s="59">
        <f>C45*(1+'Tenure Split (SE Wales)'!C$109)+(C$44*(-(50-$B45)*('Tenure Split (SE Wales)'!C$110/40)))</f>
        <v>27723.621948322023</v>
      </c>
      <c r="E45" s="59">
        <f>D45*(1+'Tenure Split (SE Wales)'!D$109)+(D$44*(-(50-$B45)*('Tenure Split (SE Wales)'!D$110/40)))</f>
        <v>28443.231761487274</v>
      </c>
      <c r="F45" s="59">
        <f>E45*(1+'Tenure Split (SE Wales)'!E$109)+(E$44*(-(50-$B45)*('Tenure Split (SE Wales)'!E$110/40)))</f>
        <v>29383.232696247695</v>
      </c>
      <c r="G45" s="59">
        <f>F45*(1+'Tenure Split (SE Wales)'!F$109)+(F$44*(-(50-$B45)*('Tenure Split (SE Wales)'!F$110/40)))</f>
        <v>30480.141082173097</v>
      </c>
      <c r="H45" s="60">
        <f>G45*(1+'Tenure Split (SE Wales)'!G$109)+(G$44*(-(50-$B45)*('Tenure Split (SE Wales)'!G$110/40)))</f>
        <v>31647.756407719036</v>
      </c>
      <c r="L45" s="64" t="str">
        <f t="shared" si="0"/>
        <v/>
      </c>
      <c r="M45" s="251"/>
      <c r="N45" s="14">
        <f t="shared" si="3"/>
        <v>1</v>
      </c>
      <c r="T45" s="1">
        <f t="shared" si="1"/>
        <v>51</v>
      </c>
      <c r="U45" s="4" t="str">
        <f t="shared" si="2"/>
        <v/>
      </c>
      <c r="V45" s="59" t="e">
        <f>IF($K$4=$V$3,M45,U45*(1+'Tenure Split (SE Wales)'!C$109)+(U$44*(-(50-$B45)*('Tenure Split (SE Wales)'!C$110/40))))</f>
        <v>#VALUE!</v>
      </c>
      <c r="W45" s="59" t="e">
        <f>V45*(1+'Tenure Split (SE Wales)'!D$109)+(V$44*(-(50-$B45)*('Tenure Split (SE Wales)'!D$110/40)))</f>
        <v>#VALUE!</v>
      </c>
      <c r="X45" s="59" t="e">
        <f>W45*(1+'Tenure Split (SE Wales)'!E$109)+(W$44*(-(50-$B45)*('Tenure Split (SE Wales)'!E$110/40)))</f>
        <v>#VALUE!</v>
      </c>
      <c r="Y45" s="59" t="e">
        <f>X45*(1+'Tenure Split (SE Wales)'!F$109)+(X$44*(-(50-$B45)*('Tenure Split (SE Wales)'!F$110/40)))</f>
        <v>#VALUE!</v>
      </c>
      <c r="Z45" s="59" t="e">
        <f>Y45*(1+'Tenure Split (SE Wales)'!G$109)+(Y$44*(-(50-$B45)*('Tenure Split (SE Wales)'!G$110/40)))</f>
        <v>#VALUE!</v>
      </c>
      <c r="AB45" s="1">
        <v>51</v>
      </c>
      <c r="AC45" s="4">
        <f>IF('Tenure Split (WALES)'!$D$8="WG Estimates",'Income (SE Wales)'!D45,'Income (SE Wales)'!V45)</f>
        <v>27723.621948322023</v>
      </c>
      <c r="AD45" s="4">
        <f>IF('Tenure Split (WALES)'!$D$8="WG Estimates",'Income (SE Wales)'!E45,'Income (SE Wales)'!W45)</f>
        <v>28443.231761487274</v>
      </c>
      <c r="AE45" s="4">
        <f>IF('Tenure Split (WALES)'!$D$8="WG Estimates",'Income (SE Wales)'!F45,'Income (SE Wales)'!X45)</f>
        <v>29383.232696247695</v>
      </c>
      <c r="AF45" s="4">
        <f>IF('Tenure Split (WALES)'!$D$8="WG Estimates",'Income (SE Wales)'!G45,'Income (SE Wales)'!Y45)</f>
        <v>30480.141082173097</v>
      </c>
      <c r="AG45" s="4">
        <f>IF('Tenure Split (WALES)'!$D$8="WG Estimates",'Income (SE Wales)'!H45,'Income (SE Wales)'!Z45)</f>
        <v>31647.756407719036</v>
      </c>
    </row>
    <row r="46" spans="2:33" x14ac:dyDescent="0.25">
      <c r="B46" s="20">
        <v>52</v>
      </c>
      <c r="C46" s="59">
        <v>27427</v>
      </c>
      <c r="D46" s="59">
        <f>C46*(1+'Tenure Split (SE Wales)'!C$109)+(C$44*(-(50-$B46)*('Tenure Split (SE Wales)'!C$110/40)))</f>
        <v>28410.434825587527</v>
      </c>
      <c r="E46" s="59">
        <f>D46*(1+'Tenure Split (SE Wales)'!D$109)+(D$44*(-(50-$B46)*('Tenure Split (SE Wales)'!D$110/40)))</f>
        <v>29154.505795716745</v>
      </c>
      <c r="F46" s="59">
        <f>E46*(1+'Tenure Split (SE Wales)'!E$109)+(E$44*(-(50-$B46)*('Tenure Split (SE Wales)'!E$110/40)))</f>
        <v>30124.815935592291</v>
      </c>
      <c r="G46" s="59">
        <f>F46*(1+'Tenure Split (SE Wales)'!F$109)+(F$44*(-(50-$B46)*('Tenure Split (SE Wales)'!F$110/40)))</f>
        <v>31256.432718573025</v>
      </c>
      <c r="H46" s="60">
        <f>G46*(1+'Tenure Split (SE Wales)'!G$109)+(G$44*(-(50-$B46)*('Tenure Split (SE Wales)'!G$110/40)))</f>
        <v>32461.068826157061</v>
      </c>
      <c r="L46" s="64" t="str">
        <f t="shared" si="0"/>
        <v/>
      </c>
      <c r="M46" s="251"/>
      <c r="N46" s="14">
        <f t="shared" si="3"/>
        <v>1</v>
      </c>
      <c r="T46" s="1">
        <f t="shared" si="1"/>
        <v>52</v>
      </c>
      <c r="U46" s="4" t="str">
        <f t="shared" si="2"/>
        <v/>
      </c>
      <c r="V46" s="59" t="e">
        <f>IF($K$4=$V$3,M46,U46*(1+'Tenure Split (SE Wales)'!C$109)+(U$44*(-(50-$B46)*('Tenure Split (SE Wales)'!C$110/40))))</f>
        <v>#VALUE!</v>
      </c>
      <c r="W46" s="59" t="e">
        <f>V46*(1+'Tenure Split (SE Wales)'!D$109)+(V$44*(-(50-$B46)*('Tenure Split (SE Wales)'!D$110/40)))</f>
        <v>#VALUE!</v>
      </c>
      <c r="X46" s="59" t="e">
        <f>W46*(1+'Tenure Split (SE Wales)'!E$109)+(W$44*(-(50-$B46)*('Tenure Split (SE Wales)'!E$110/40)))</f>
        <v>#VALUE!</v>
      </c>
      <c r="Y46" s="59" t="e">
        <f>X46*(1+'Tenure Split (SE Wales)'!F$109)+(X$44*(-(50-$B46)*('Tenure Split (SE Wales)'!F$110/40)))</f>
        <v>#VALUE!</v>
      </c>
      <c r="Z46" s="59" t="e">
        <f>Y46*(1+'Tenure Split (SE Wales)'!G$109)+(Y$44*(-(50-$B46)*('Tenure Split (SE Wales)'!G$110/40)))</f>
        <v>#VALUE!</v>
      </c>
      <c r="AB46" s="1">
        <v>52</v>
      </c>
      <c r="AC46" s="4">
        <f>IF('Tenure Split (WALES)'!$D$8="WG Estimates",'Income (SE Wales)'!D46,'Income (SE Wales)'!V46)</f>
        <v>28410.434825587527</v>
      </c>
      <c r="AD46" s="4">
        <f>IF('Tenure Split (WALES)'!$D$8="WG Estimates",'Income (SE Wales)'!E46,'Income (SE Wales)'!W46)</f>
        <v>29154.505795716745</v>
      </c>
      <c r="AE46" s="4">
        <f>IF('Tenure Split (WALES)'!$D$8="WG Estimates",'Income (SE Wales)'!F46,'Income (SE Wales)'!X46)</f>
        <v>30124.815935592291</v>
      </c>
      <c r="AF46" s="4">
        <f>IF('Tenure Split (WALES)'!$D$8="WG Estimates",'Income (SE Wales)'!G46,'Income (SE Wales)'!Y46)</f>
        <v>31256.432718573025</v>
      </c>
      <c r="AG46" s="4">
        <f>IF('Tenure Split (WALES)'!$D$8="WG Estimates",'Income (SE Wales)'!H46,'Income (SE Wales)'!Z46)</f>
        <v>32461.068826157061</v>
      </c>
    </row>
    <row r="47" spans="2:33" x14ac:dyDescent="0.25">
      <c r="B47" s="20">
        <v>53</v>
      </c>
      <c r="C47" s="59">
        <v>28082.6</v>
      </c>
      <c r="D47" s="59">
        <f>C47*(1+'Tenure Split (SE Wales)'!C$109)+(C$44*(-(50-$B47)*('Tenure Split (SE Wales)'!C$110/40)))</f>
        <v>29095.798174545311</v>
      </c>
      <c r="E47" s="59">
        <f>D47*(1+'Tenure Split (SE Wales)'!D$109)+(D$44*(-(50-$B47)*('Tenure Split (SE Wales)'!D$110/40)))</f>
        <v>29864.293032534275</v>
      </c>
      <c r="F47" s="59">
        <f>E47*(1+'Tenure Split (SE Wales)'!E$109)+(E$44*(-(50-$B47)*('Tenure Split (SE Wales)'!E$110/40)))</f>
        <v>30864.863606092276</v>
      </c>
      <c r="G47" s="59">
        <f>F47*(1+'Tenure Split (SE Wales)'!F$109)+(F$44*(-(50-$B47)*('Tenure Split (SE Wales)'!F$110/40)))</f>
        <v>32031.131838248577</v>
      </c>
      <c r="H47" s="60">
        <f>G47*(1+'Tenure Split (SE Wales)'!G$109)+(G$44*(-(50-$B47)*('Tenure Split (SE Wales)'!G$110/40)))</f>
        <v>33272.728113143909</v>
      </c>
      <c r="L47" s="64" t="str">
        <f t="shared" si="0"/>
        <v/>
      </c>
      <c r="M47" s="251"/>
      <c r="N47" s="14">
        <f t="shared" si="3"/>
        <v>1</v>
      </c>
      <c r="T47" s="1">
        <f t="shared" si="1"/>
        <v>53</v>
      </c>
      <c r="U47" s="4" t="str">
        <f t="shared" si="2"/>
        <v/>
      </c>
      <c r="V47" s="59" t="e">
        <f>IF($K$4=$V$3,M47,U47*(1+'Tenure Split (SE Wales)'!C$109)+(U$44*(-(50-$B47)*('Tenure Split (SE Wales)'!C$110/40))))</f>
        <v>#VALUE!</v>
      </c>
      <c r="W47" s="59" t="e">
        <f>V47*(1+'Tenure Split (SE Wales)'!D$109)+(V$44*(-(50-$B47)*('Tenure Split (SE Wales)'!D$110/40)))</f>
        <v>#VALUE!</v>
      </c>
      <c r="X47" s="59" t="e">
        <f>W47*(1+'Tenure Split (SE Wales)'!E$109)+(W$44*(-(50-$B47)*('Tenure Split (SE Wales)'!E$110/40)))</f>
        <v>#VALUE!</v>
      </c>
      <c r="Y47" s="59" t="e">
        <f>X47*(1+'Tenure Split (SE Wales)'!F$109)+(X$44*(-(50-$B47)*('Tenure Split (SE Wales)'!F$110/40)))</f>
        <v>#VALUE!</v>
      </c>
      <c r="Z47" s="59" t="e">
        <f>Y47*(1+'Tenure Split (SE Wales)'!G$109)+(Y$44*(-(50-$B47)*('Tenure Split (SE Wales)'!G$110/40)))</f>
        <v>#VALUE!</v>
      </c>
      <c r="AB47" s="1">
        <v>53</v>
      </c>
      <c r="AC47" s="4">
        <f>IF('Tenure Split (WALES)'!$D$8="WG Estimates",'Income (SE Wales)'!D47,'Income (SE Wales)'!V47)</f>
        <v>29095.798174545311</v>
      </c>
      <c r="AD47" s="4">
        <f>IF('Tenure Split (WALES)'!$D$8="WG Estimates",'Income (SE Wales)'!E47,'Income (SE Wales)'!W47)</f>
        <v>29864.293032534275</v>
      </c>
      <c r="AE47" s="4">
        <f>IF('Tenure Split (WALES)'!$D$8="WG Estimates",'Income (SE Wales)'!F47,'Income (SE Wales)'!X47)</f>
        <v>30864.863606092276</v>
      </c>
      <c r="AF47" s="4">
        <f>IF('Tenure Split (WALES)'!$D$8="WG Estimates",'Income (SE Wales)'!G47,'Income (SE Wales)'!Y47)</f>
        <v>32031.131838248577</v>
      </c>
      <c r="AG47" s="4">
        <f>IF('Tenure Split (WALES)'!$D$8="WG Estimates",'Income (SE Wales)'!H47,'Income (SE Wales)'!Z47)</f>
        <v>33272.728113143909</v>
      </c>
    </row>
    <row r="48" spans="2:33" x14ac:dyDescent="0.25">
      <c r="B48" s="20">
        <v>54</v>
      </c>
      <c r="C48" s="59">
        <v>28699</v>
      </c>
      <c r="D48" s="59">
        <f>C48*(1+'Tenure Split (SE Wales)'!C$109)+(C$44*(-(50-$B48)*('Tenure Split (SE Wales)'!C$110/40)))</f>
        <v>29740.574730886954</v>
      </c>
      <c r="E48" s="59">
        <f>D48*(1+'Tenure Split (SE Wales)'!D$109)+(D$44*(-(50-$B48)*('Tenure Split (SE Wales)'!D$110/40)))</f>
        <v>30532.4499418173</v>
      </c>
      <c r="F48" s="59">
        <f>E48*(1+'Tenure Split (SE Wales)'!E$109)+(E$44*(-(50-$B48)*('Tenure Split (SE Wales)'!E$110/40)))</f>
        <v>31561.915348942788</v>
      </c>
      <c r="G48" s="59">
        <f>F48*(1+'Tenure Split (SE Wales)'!F$109)+(F$44*(-(50-$B48)*('Tenure Split (SE Wales)'!F$110/40)))</f>
        <v>32761.24048964111</v>
      </c>
      <c r="H48" s="60">
        <f>G48*(1+'Tenure Split (SE Wales)'!G$109)+(G$44*(-(50-$B48)*('Tenure Split (SE Wales)'!G$110/40)))</f>
        <v>34038.099719497361</v>
      </c>
      <c r="L48" s="64" t="str">
        <f t="shared" si="0"/>
        <v/>
      </c>
      <c r="M48" s="251"/>
      <c r="N48" s="14">
        <f t="shared" si="3"/>
        <v>1</v>
      </c>
      <c r="T48" s="1">
        <f t="shared" si="1"/>
        <v>54</v>
      </c>
      <c r="U48" s="4" t="str">
        <f t="shared" si="2"/>
        <v/>
      </c>
      <c r="V48" s="59" t="e">
        <f>IF($K$4=$V$3,M48,U48*(1+'Tenure Split (SE Wales)'!C$109)+(U$44*(-(50-$B48)*('Tenure Split (SE Wales)'!C$110/40))))</f>
        <v>#VALUE!</v>
      </c>
      <c r="W48" s="59" t="e">
        <f>V48*(1+'Tenure Split (SE Wales)'!D$109)+(V$44*(-(50-$B48)*('Tenure Split (SE Wales)'!D$110/40)))</f>
        <v>#VALUE!</v>
      </c>
      <c r="X48" s="59" t="e">
        <f>W48*(1+'Tenure Split (SE Wales)'!E$109)+(W$44*(-(50-$B48)*('Tenure Split (SE Wales)'!E$110/40)))</f>
        <v>#VALUE!</v>
      </c>
      <c r="Y48" s="59" t="e">
        <f>X48*(1+'Tenure Split (SE Wales)'!F$109)+(X$44*(-(50-$B48)*('Tenure Split (SE Wales)'!F$110/40)))</f>
        <v>#VALUE!</v>
      </c>
      <c r="Z48" s="59" t="e">
        <f>Y48*(1+'Tenure Split (SE Wales)'!G$109)+(Y$44*(-(50-$B48)*('Tenure Split (SE Wales)'!G$110/40)))</f>
        <v>#VALUE!</v>
      </c>
      <c r="AB48" s="1">
        <v>54</v>
      </c>
      <c r="AC48" s="4">
        <f>IF('Tenure Split (WALES)'!$D$8="WG Estimates",'Income (SE Wales)'!D48,'Income (SE Wales)'!V48)</f>
        <v>29740.574730886954</v>
      </c>
      <c r="AD48" s="4">
        <f>IF('Tenure Split (WALES)'!$D$8="WG Estimates",'Income (SE Wales)'!E48,'Income (SE Wales)'!W48)</f>
        <v>30532.4499418173</v>
      </c>
      <c r="AE48" s="4">
        <f>IF('Tenure Split (WALES)'!$D$8="WG Estimates",'Income (SE Wales)'!F48,'Income (SE Wales)'!X48)</f>
        <v>31561.915348942788</v>
      </c>
      <c r="AF48" s="4">
        <f>IF('Tenure Split (WALES)'!$D$8="WG Estimates",'Income (SE Wales)'!G48,'Income (SE Wales)'!Y48)</f>
        <v>32761.24048964111</v>
      </c>
      <c r="AG48" s="4">
        <f>IF('Tenure Split (WALES)'!$D$8="WG Estimates",'Income (SE Wales)'!H48,'Income (SE Wales)'!Z48)</f>
        <v>34038.099719497361</v>
      </c>
    </row>
    <row r="49" spans="2:33" x14ac:dyDescent="0.25">
      <c r="B49" s="20">
        <v>55</v>
      </c>
      <c r="C49" s="59">
        <v>29325</v>
      </c>
      <c r="D49" s="59">
        <f>C49*(1+'Tenure Split (SE Wales)'!C$109)+(C$44*(-(50-$B49)*('Tenure Split (SE Wales)'!C$110/40)))</f>
        <v>30395.290909910098</v>
      </c>
      <c r="E49" s="59">
        <f>D49*(1+'Tenure Split (SE Wales)'!D$109)+(D$44*(-(50-$B49)*('Tenure Split (SE Wales)'!D$110/40)))</f>
        <v>31210.80203335367</v>
      </c>
      <c r="F49" s="59">
        <f>E49*(1+'Tenure Split (SE Wales)'!E$109)+(E$44*(-(50-$B49)*('Tenure Split (SE Wales)'!E$110/40)))</f>
        <v>32269.496706727859</v>
      </c>
      <c r="G49" s="59">
        <f>F49*(1+'Tenure Split (SE Wales)'!F$109)+(F$44*(-(50-$B49)*('Tenure Split (SE Wales)'!F$110/40)))</f>
        <v>33502.269255715197</v>
      </c>
      <c r="H49" s="60">
        <f>G49*(1+'Tenure Split (SE Wales)'!G$109)+(G$44*(-(50-$B49)*('Tenure Split (SE Wales)'!G$110/40)))</f>
        <v>34814.807084373271</v>
      </c>
      <c r="L49" s="64" t="str">
        <f t="shared" si="0"/>
        <v/>
      </c>
      <c r="M49" s="251"/>
      <c r="N49" s="14">
        <f t="shared" si="3"/>
        <v>1</v>
      </c>
      <c r="T49" s="1">
        <f t="shared" si="1"/>
        <v>55</v>
      </c>
      <c r="U49" s="4" t="str">
        <f t="shared" si="2"/>
        <v/>
      </c>
      <c r="V49" s="59" t="e">
        <f>IF($K$4=$V$3,M49,U49*(1+'Tenure Split (SE Wales)'!C$109)+(U$44*(-(50-$B49)*('Tenure Split (SE Wales)'!C$110/40))))</f>
        <v>#VALUE!</v>
      </c>
      <c r="W49" s="59" t="e">
        <f>V49*(1+'Tenure Split (SE Wales)'!D$109)+(V$44*(-(50-$B49)*('Tenure Split (SE Wales)'!D$110/40)))</f>
        <v>#VALUE!</v>
      </c>
      <c r="X49" s="59" t="e">
        <f>W49*(1+'Tenure Split (SE Wales)'!E$109)+(W$44*(-(50-$B49)*('Tenure Split (SE Wales)'!E$110/40)))</f>
        <v>#VALUE!</v>
      </c>
      <c r="Y49" s="59" t="e">
        <f>X49*(1+'Tenure Split (SE Wales)'!F$109)+(X$44*(-(50-$B49)*('Tenure Split (SE Wales)'!F$110/40)))</f>
        <v>#VALUE!</v>
      </c>
      <c r="Z49" s="59" t="e">
        <f>Y49*(1+'Tenure Split (SE Wales)'!G$109)+(Y$44*(-(50-$B49)*('Tenure Split (SE Wales)'!G$110/40)))</f>
        <v>#VALUE!</v>
      </c>
      <c r="AB49" s="1">
        <v>55</v>
      </c>
      <c r="AC49" s="4">
        <f>IF('Tenure Split (WALES)'!$D$8="WG Estimates",'Income (SE Wales)'!D49,'Income (SE Wales)'!V49)</f>
        <v>30395.290909910098</v>
      </c>
      <c r="AD49" s="4">
        <f>IF('Tenure Split (WALES)'!$D$8="WG Estimates",'Income (SE Wales)'!E49,'Income (SE Wales)'!W49)</f>
        <v>31210.80203335367</v>
      </c>
      <c r="AE49" s="4">
        <f>IF('Tenure Split (WALES)'!$D$8="WG Estimates",'Income (SE Wales)'!F49,'Income (SE Wales)'!X49)</f>
        <v>32269.496706727859</v>
      </c>
      <c r="AF49" s="4">
        <f>IF('Tenure Split (WALES)'!$D$8="WG Estimates",'Income (SE Wales)'!G49,'Income (SE Wales)'!Y49)</f>
        <v>33502.269255715197</v>
      </c>
      <c r="AG49" s="4">
        <f>IF('Tenure Split (WALES)'!$D$8="WG Estimates",'Income (SE Wales)'!H49,'Income (SE Wales)'!Z49)</f>
        <v>34814.807084373271</v>
      </c>
    </row>
    <row r="50" spans="2:33" x14ac:dyDescent="0.25">
      <c r="B50" s="20">
        <v>56</v>
      </c>
      <c r="C50" s="59">
        <v>29932.5</v>
      </c>
      <c r="D50" s="59">
        <f>C50*(1+'Tenure Split (SE Wales)'!C$109)+(C$44*(-(50-$B50)*('Tenure Split (SE Wales)'!C$110/40)))</f>
        <v>31030.852607724089</v>
      </c>
      <c r="E50" s="59">
        <f>D50*(1+'Tenure Split (SE Wales)'!D$109)+(D$44*(-(50-$B50)*('Tenure Split (SE Wales)'!D$110/40)))</f>
        <v>31869.507159089317</v>
      </c>
      <c r="F50" s="59">
        <f>E50*(1+'Tenure Split (SE Wales)'!E$109)+(E$44*(-(50-$B50)*('Tenure Split (SE Wales)'!E$110/40)))</f>
        <v>32956.786619066115</v>
      </c>
      <c r="G50" s="59">
        <f>F50*(1+'Tenure Split (SE Wales)'!F$109)+(F$44*(-(50-$B50)*('Tenure Split (SE Wales)'!F$110/40)))</f>
        <v>34222.254050788368</v>
      </c>
      <c r="H50" s="60">
        <f>G50*(1+'Tenure Split (SE Wales)'!G$109)+(G$44*(-(50-$B50)*('Tenure Split (SE Wales)'!G$110/40)))</f>
        <v>35569.669497929848</v>
      </c>
      <c r="L50" s="64" t="str">
        <f t="shared" si="0"/>
        <v/>
      </c>
      <c r="M50" s="251"/>
      <c r="N50" s="14">
        <f t="shared" si="3"/>
        <v>1</v>
      </c>
      <c r="T50" s="1">
        <f t="shared" si="1"/>
        <v>56</v>
      </c>
      <c r="U50" s="4" t="str">
        <f t="shared" si="2"/>
        <v/>
      </c>
      <c r="V50" s="59" t="e">
        <f>IF($K$4=$V$3,M50,U50*(1+'Tenure Split (SE Wales)'!C$109)+(U$44*(-(50-$B50)*('Tenure Split (SE Wales)'!C$110/40))))</f>
        <v>#VALUE!</v>
      </c>
      <c r="W50" s="59" t="e">
        <f>V50*(1+'Tenure Split (SE Wales)'!D$109)+(V$44*(-(50-$B50)*('Tenure Split (SE Wales)'!D$110/40)))</f>
        <v>#VALUE!</v>
      </c>
      <c r="X50" s="59" t="e">
        <f>W50*(1+'Tenure Split (SE Wales)'!E$109)+(W$44*(-(50-$B50)*('Tenure Split (SE Wales)'!E$110/40)))</f>
        <v>#VALUE!</v>
      </c>
      <c r="Y50" s="59" t="e">
        <f>X50*(1+'Tenure Split (SE Wales)'!F$109)+(X$44*(-(50-$B50)*('Tenure Split (SE Wales)'!F$110/40)))</f>
        <v>#VALUE!</v>
      </c>
      <c r="Z50" s="59" t="e">
        <f>Y50*(1+'Tenure Split (SE Wales)'!G$109)+(Y$44*(-(50-$B50)*('Tenure Split (SE Wales)'!G$110/40)))</f>
        <v>#VALUE!</v>
      </c>
      <c r="AB50" s="1">
        <v>56</v>
      </c>
      <c r="AC50" s="4">
        <f>IF('Tenure Split (WALES)'!$D$8="WG Estimates",'Income (SE Wales)'!D50,'Income (SE Wales)'!V50)</f>
        <v>31030.852607724089</v>
      </c>
      <c r="AD50" s="4">
        <f>IF('Tenure Split (WALES)'!$D$8="WG Estimates",'Income (SE Wales)'!E50,'Income (SE Wales)'!W50)</f>
        <v>31869.507159089317</v>
      </c>
      <c r="AE50" s="4">
        <f>IF('Tenure Split (WALES)'!$D$8="WG Estimates",'Income (SE Wales)'!F50,'Income (SE Wales)'!X50)</f>
        <v>32956.786619066115</v>
      </c>
      <c r="AF50" s="4">
        <f>IF('Tenure Split (WALES)'!$D$8="WG Estimates",'Income (SE Wales)'!G50,'Income (SE Wales)'!Y50)</f>
        <v>34222.254050788368</v>
      </c>
      <c r="AG50" s="4">
        <f>IF('Tenure Split (WALES)'!$D$8="WG Estimates",'Income (SE Wales)'!H50,'Income (SE Wales)'!Z50)</f>
        <v>35569.669497929848</v>
      </c>
    </row>
    <row r="51" spans="2:33" x14ac:dyDescent="0.25">
      <c r="B51" s="20">
        <v>57</v>
      </c>
      <c r="C51" s="59">
        <v>30644</v>
      </c>
      <c r="D51" s="59">
        <f>C51*(1+'Tenure Split (SE Wales)'!C$109)+(C$44*(-(50-$B51)*('Tenure Split (SE Wales)'!C$110/40)))</f>
        <v>31774.093551254391</v>
      </c>
      <c r="E51" s="59">
        <f>D51*(1+'Tenure Split (SE Wales)'!D$109)+(D$44*(-(50-$B51)*('Tenure Split (SE Wales)'!D$110/40)))</f>
        <v>32638.660092569571</v>
      </c>
      <c r="F51" s="59">
        <f>E51*(1+'Tenure Split (SE Wales)'!E$109)+(E$44*(-(50-$B51)*('Tenure Split (SE Wales)'!E$110/40)))</f>
        <v>33758.147359862152</v>
      </c>
      <c r="G51" s="59">
        <f>F51*(1+'Tenure Split (SE Wales)'!F$109)+(F$44*(-(50-$B51)*('Tenure Split (SE Wales)'!F$110/40)))</f>
        <v>35060.540088245049</v>
      </c>
      <c r="H51" s="60">
        <f>G51*(1+'Tenure Split (SE Wales)'!G$109)+(G$44*(-(50-$B51)*('Tenure Split (SE Wales)'!G$110/40)))</f>
        <v>36447.335962146455</v>
      </c>
      <c r="L51" s="64" t="str">
        <f t="shared" si="0"/>
        <v/>
      </c>
      <c r="M51" s="251"/>
      <c r="N51" s="14">
        <f t="shared" si="3"/>
        <v>1</v>
      </c>
      <c r="T51" s="1">
        <f t="shared" si="1"/>
        <v>57</v>
      </c>
      <c r="U51" s="4" t="str">
        <f t="shared" si="2"/>
        <v/>
      </c>
      <c r="V51" s="59" t="e">
        <f>IF($K$4=$V$3,M51,U51*(1+'Tenure Split (SE Wales)'!C$109)+(U$44*(-(50-$B51)*('Tenure Split (SE Wales)'!C$110/40))))</f>
        <v>#VALUE!</v>
      </c>
      <c r="W51" s="59" t="e">
        <f>V51*(1+'Tenure Split (SE Wales)'!D$109)+(V$44*(-(50-$B51)*('Tenure Split (SE Wales)'!D$110/40)))</f>
        <v>#VALUE!</v>
      </c>
      <c r="X51" s="59" t="e">
        <f>W51*(1+'Tenure Split (SE Wales)'!E$109)+(W$44*(-(50-$B51)*('Tenure Split (SE Wales)'!E$110/40)))</f>
        <v>#VALUE!</v>
      </c>
      <c r="Y51" s="59" t="e">
        <f>X51*(1+'Tenure Split (SE Wales)'!F$109)+(X$44*(-(50-$B51)*('Tenure Split (SE Wales)'!F$110/40)))</f>
        <v>#VALUE!</v>
      </c>
      <c r="Z51" s="59" t="e">
        <f>Y51*(1+'Tenure Split (SE Wales)'!G$109)+(Y$44*(-(50-$B51)*('Tenure Split (SE Wales)'!G$110/40)))</f>
        <v>#VALUE!</v>
      </c>
      <c r="AB51" s="1">
        <v>57</v>
      </c>
      <c r="AC51" s="4">
        <f>IF('Tenure Split (WALES)'!$D$8="WG Estimates",'Income (SE Wales)'!D51,'Income (SE Wales)'!V51)</f>
        <v>31774.093551254391</v>
      </c>
      <c r="AD51" s="4">
        <f>IF('Tenure Split (WALES)'!$D$8="WG Estimates",'Income (SE Wales)'!E51,'Income (SE Wales)'!W51)</f>
        <v>32638.660092569571</v>
      </c>
      <c r="AE51" s="4">
        <f>IF('Tenure Split (WALES)'!$D$8="WG Estimates",'Income (SE Wales)'!F51,'Income (SE Wales)'!X51)</f>
        <v>33758.147359862152</v>
      </c>
      <c r="AF51" s="4">
        <f>IF('Tenure Split (WALES)'!$D$8="WG Estimates",'Income (SE Wales)'!G51,'Income (SE Wales)'!Y51)</f>
        <v>35060.540088245049</v>
      </c>
      <c r="AG51" s="4">
        <f>IF('Tenure Split (WALES)'!$D$8="WG Estimates",'Income (SE Wales)'!H51,'Income (SE Wales)'!Z51)</f>
        <v>36447.335962146455</v>
      </c>
    </row>
    <row r="52" spans="2:33" x14ac:dyDescent="0.25">
      <c r="B52" s="20">
        <v>58</v>
      </c>
      <c r="C52" s="59">
        <v>31322</v>
      </c>
      <c r="D52" s="59">
        <f>C52*(1+'Tenure Split (SE Wales)'!C$109)+(C$44*(-(50-$B52)*('Tenure Split (SE Wales)'!C$110/40)))</f>
        <v>32482.64935313569</v>
      </c>
      <c r="E52" s="59">
        <f>D52*(1+'Tenure Split (SE Wales)'!D$109)+(D$44*(-(50-$B52)*('Tenure Split (SE Wales)'!D$110/40)))</f>
        <v>33372.23608797825</v>
      </c>
      <c r="F52" s="59">
        <f>E52*(1+'Tenure Split (SE Wales)'!E$109)+(E$44*(-(50-$B52)*('Tenure Split (SE Wales)'!E$110/40)))</f>
        <v>34522.764131876123</v>
      </c>
      <c r="G52" s="59">
        <f>F52*(1+'Tenure Split (SE Wales)'!F$109)+(F$44*(-(50-$B52)*('Tenure Split (SE Wales)'!F$110/40)))</f>
        <v>35860.719475510894</v>
      </c>
      <c r="H52" s="60">
        <f>G52*(1+'Tenure Split (SE Wales)'!G$109)+(G$44*(-(50-$B52)*('Tenure Split (SE Wales)'!G$110/40)))</f>
        <v>37285.445352352384</v>
      </c>
      <c r="L52" s="64" t="str">
        <f t="shared" si="0"/>
        <v/>
      </c>
      <c r="M52" s="251"/>
      <c r="N52" s="14">
        <f t="shared" si="3"/>
        <v>1</v>
      </c>
      <c r="T52" s="1">
        <f t="shared" si="1"/>
        <v>58</v>
      </c>
      <c r="U52" s="4" t="str">
        <f t="shared" si="2"/>
        <v/>
      </c>
      <c r="V52" s="59" t="e">
        <f>IF($K$4=$V$3,M52,U52*(1+'Tenure Split (SE Wales)'!C$109)+(U$44*(-(50-$B52)*('Tenure Split (SE Wales)'!C$110/40))))</f>
        <v>#VALUE!</v>
      </c>
      <c r="W52" s="59" t="e">
        <f>V52*(1+'Tenure Split (SE Wales)'!D$109)+(V$44*(-(50-$B52)*('Tenure Split (SE Wales)'!D$110/40)))</f>
        <v>#VALUE!</v>
      </c>
      <c r="X52" s="59" t="e">
        <f>W52*(1+'Tenure Split (SE Wales)'!E$109)+(W$44*(-(50-$B52)*('Tenure Split (SE Wales)'!E$110/40)))</f>
        <v>#VALUE!</v>
      </c>
      <c r="Y52" s="59" t="e">
        <f>X52*(1+'Tenure Split (SE Wales)'!F$109)+(X$44*(-(50-$B52)*('Tenure Split (SE Wales)'!F$110/40)))</f>
        <v>#VALUE!</v>
      </c>
      <c r="Z52" s="59" t="e">
        <f>Y52*(1+'Tenure Split (SE Wales)'!G$109)+(Y$44*(-(50-$B52)*('Tenure Split (SE Wales)'!G$110/40)))</f>
        <v>#VALUE!</v>
      </c>
      <c r="AB52" s="1">
        <v>58</v>
      </c>
      <c r="AC52" s="4">
        <f>IF('Tenure Split (WALES)'!$D$8="WG Estimates",'Income (SE Wales)'!D52,'Income (SE Wales)'!V52)</f>
        <v>32482.64935313569</v>
      </c>
      <c r="AD52" s="4">
        <f>IF('Tenure Split (WALES)'!$D$8="WG Estimates",'Income (SE Wales)'!E52,'Income (SE Wales)'!W52)</f>
        <v>33372.23608797825</v>
      </c>
      <c r="AE52" s="4">
        <f>IF('Tenure Split (WALES)'!$D$8="WG Estimates",'Income (SE Wales)'!F52,'Income (SE Wales)'!X52)</f>
        <v>34522.764131876123</v>
      </c>
      <c r="AF52" s="4">
        <f>IF('Tenure Split (WALES)'!$D$8="WG Estimates",'Income (SE Wales)'!G52,'Income (SE Wales)'!Y52)</f>
        <v>35860.719475510894</v>
      </c>
      <c r="AG52" s="4">
        <f>IF('Tenure Split (WALES)'!$D$8="WG Estimates",'Income (SE Wales)'!H52,'Income (SE Wales)'!Z52)</f>
        <v>37285.445352352384</v>
      </c>
    </row>
    <row r="53" spans="2:33" x14ac:dyDescent="0.25">
      <c r="B53" s="20">
        <v>59</v>
      </c>
      <c r="C53" s="59">
        <v>31882.75</v>
      </c>
      <c r="D53" s="59">
        <f>C53*(1+'Tenure Split (SE Wales)'!C$109)+(C$44*(-(50-$B53)*('Tenure Split (SE Wales)'!C$110/40)))</f>
        <v>33069.80715924548</v>
      </c>
      <c r="E53" s="59">
        <f>D53*(1+'Tenure Split (SE Wales)'!D$109)+(D$44*(-(50-$B53)*('Tenure Split (SE Wales)'!D$110/40)))</f>
        <v>33981.292800136398</v>
      </c>
      <c r="F53" s="59">
        <f>E53*(1+'Tenure Split (SE Wales)'!E$109)+(E$44*(-(50-$B53)*('Tenure Split (SE Wales)'!E$110/40)))</f>
        <v>35158.77701315283</v>
      </c>
      <c r="G53" s="59">
        <f>F53*(1+'Tenure Split (SE Wales)'!F$109)+(F$44*(-(50-$B53)*('Tenure Split (SE Wales)'!F$110/40)))</f>
        <v>36527.525587108801</v>
      </c>
      <c r="H53" s="60">
        <f>G53*(1+'Tenure Split (SE Wales)'!G$109)+(G$44*(-(50-$B53)*('Tenure Split (SE Wales)'!G$110/40)))</f>
        <v>37985.104983520941</v>
      </c>
      <c r="L53" s="64" t="str">
        <f t="shared" si="0"/>
        <v/>
      </c>
      <c r="M53" s="251"/>
      <c r="N53" s="14">
        <f t="shared" si="3"/>
        <v>1</v>
      </c>
      <c r="T53" s="1">
        <f t="shared" si="1"/>
        <v>59</v>
      </c>
      <c r="U53" s="4" t="str">
        <f t="shared" si="2"/>
        <v/>
      </c>
      <c r="V53" s="59" t="e">
        <f>IF($K$4=$V$3,M53,U53*(1+'Tenure Split (SE Wales)'!C$109)+(U$44*(-(50-$B53)*('Tenure Split (SE Wales)'!C$110/40))))</f>
        <v>#VALUE!</v>
      </c>
      <c r="W53" s="59" t="e">
        <f>V53*(1+'Tenure Split (SE Wales)'!D$109)+(V$44*(-(50-$B53)*('Tenure Split (SE Wales)'!D$110/40)))</f>
        <v>#VALUE!</v>
      </c>
      <c r="X53" s="59" t="e">
        <f>W53*(1+'Tenure Split (SE Wales)'!E$109)+(W$44*(-(50-$B53)*('Tenure Split (SE Wales)'!E$110/40)))</f>
        <v>#VALUE!</v>
      </c>
      <c r="Y53" s="59" t="e">
        <f>X53*(1+'Tenure Split (SE Wales)'!F$109)+(X$44*(-(50-$B53)*('Tenure Split (SE Wales)'!F$110/40)))</f>
        <v>#VALUE!</v>
      </c>
      <c r="Z53" s="59" t="e">
        <f>Y53*(1+'Tenure Split (SE Wales)'!G$109)+(Y$44*(-(50-$B53)*('Tenure Split (SE Wales)'!G$110/40)))</f>
        <v>#VALUE!</v>
      </c>
      <c r="AB53" s="1">
        <v>59</v>
      </c>
      <c r="AC53" s="4">
        <f>IF('Tenure Split (WALES)'!$D$8="WG Estimates",'Income (SE Wales)'!D53,'Income (SE Wales)'!V53)</f>
        <v>33069.80715924548</v>
      </c>
      <c r="AD53" s="4">
        <f>IF('Tenure Split (WALES)'!$D$8="WG Estimates",'Income (SE Wales)'!E53,'Income (SE Wales)'!W53)</f>
        <v>33981.292800136398</v>
      </c>
      <c r="AE53" s="4">
        <f>IF('Tenure Split (WALES)'!$D$8="WG Estimates",'Income (SE Wales)'!F53,'Income (SE Wales)'!X53)</f>
        <v>35158.77701315283</v>
      </c>
      <c r="AF53" s="4">
        <f>IF('Tenure Split (WALES)'!$D$8="WG Estimates",'Income (SE Wales)'!G53,'Income (SE Wales)'!Y53)</f>
        <v>36527.525587108801</v>
      </c>
      <c r="AG53" s="4">
        <f>IF('Tenure Split (WALES)'!$D$8="WG Estimates",'Income (SE Wales)'!H53,'Income (SE Wales)'!Z53)</f>
        <v>37985.104983520941</v>
      </c>
    </row>
    <row r="54" spans="2:33" x14ac:dyDescent="0.25">
      <c r="B54" s="20">
        <v>60</v>
      </c>
      <c r="C54" s="59">
        <v>32711</v>
      </c>
      <c r="D54" s="59">
        <f>C54*(1+'Tenure Split (SE Wales)'!C$109)+(C$44*(-(50-$B54)*('Tenure Split (SE Wales)'!C$110/40)))</f>
        <v>33933.928409865963</v>
      </c>
      <c r="E54" s="59">
        <f>D54*(1+'Tenure Split (SE Wales)'!D$109)+(D$44*(-(50-$B54)*('Tenure Split (SE Wales)'!D$110/40)))</f>
        <v>34874.434017791478</v>
      </c>
      <c r="F54" s="59">
        <f>E54*(1+'Tenure Split (SE Wales)'!E$109)+(E$44*(-(50-$B54)*('Tenure Split (SE Wales)'!E$110/40)))</f>
        <v>36088.193227241609</v>
      </c>
      <c r="G54" s="59">
        <f>F54*(1+'Tenure Split (SE Wales)'!F$109)+(F$44*(-(50-$B54)*('Tenure Split (SE Wales)'!F$110/40)))</f>
        <v>37498.616144260413</v>
      </c>
      <c r="H54" s="60">
        <f>G54*(1+'Tenure Split (SE Wales)'!G$109)+(G$44*(-(50-$B54)*('Tenure Split (SE Wales)'!G$110/40)))</f>
        <v>39000.630802685206</v>
      </c>
      <c r="L54" s="64" t="str">
        <f t="shared" si="0"/>
        <v/>
      </c>
      <c r="M54" s="251"/>
      <c r="N54" s="14">
        <f t="shared" si="3"/>
        <v>1</v>
      </c>
      <c r="T54" s="1">
        <f t="shared" si="1"/>
        <v>60</v>
      </c>
      <c r="U54" s="4" t="str">
        <f t="shared" si="2"/>
        <v/>
      </c>
      <c r="V54" s="59" t="e">
        <f>IF($K$4=$V$3,M54,U54*(1+'Tenure Split (SE Wales)'!C$109)+(U$44*(-(50-$B54)*('Tenure Split (SE Wales)'!C$110/40))))</f>
        <v>#VALUE!</v>
      </c>
      <c r="W54" s="59" t="e">
        <f>V54*(1+'Tenure Split (SE Wales)'!D$109)+(V$44*(-(50-$B54)*('Tenure Split (SE Wales)'!D$110/40)))</f>
        <v>#VALUE!</v>
      </c>
      <c r="X54" s="59" t="e">
        <f>W54*(1+'Tenure Split (SE Wales)'!E$109)+(W$44*(-(50-$B54)*('Tenure Split (SE Wales)'!E$110/40)))</f>
        <v>#VALUE!</v>
      </c>
      <c r="Y54" s="59" t="e">
        <f>X54*(1+'Tenure Split (SE Wales)'!F$109)+(X$44*(-(50-$B54)*('Tenure Split (SE Wales)'!F$110/40)))</f>
        <v>#VALUE!</v>
      </c>
      <c r="Z54" s="59" t="e">
        <f>Y54*(1+'Tenure Split (SE Wales)'!G$109)+(Y$44*(-(50-$B54)*('Tenure Split (SE Wales)'!G$110/40)))</f>
        <v>#VALUE!</v>
      </c>
      <c r="AB54" s="1">
        <v>60</v>
      </c>
      <c r="AC54" s="4">
        <f>IF('Tenure Split (WALES)'!$D$8="WG Estimates",'Income (SE Wales)'!D54,'Income (SE Wales)'!V54)</f>
        <v>33933.928409865963</v>
      </c>
      <c r="AD54" s="4">
        <f>IF('Tenure Split (WALES)'!$D$8="WG Estimates",'Income (SE Wales)'!E54,'Income (SE Wales)'!W54)</f>
        <v>34874.434017791478</v>
      </c>
      <c r="AE54" s="4">
        <f>IF('Tenure Split (WALES)'!$D$8="WG Estimates",'Income (SE Wales)'!F54,'Income (SE Wales)'!X54)</f>
        <v>36088.193227241609</v>
      </c>
      <c r="AF54" s="4">
        <f>IF('Tenure Split (WALES)'!$D$8="WG Estimates",'Income (SE Wales)'!G54,'Income (SE Wales)'!Y54)</f>
        <v>37498.616144260413</v>
      </c>
      <c r="AG54" s="4">
        <f>IF('Tenure Split (WALES)'!$D$8="WG Estimates",'Income (SE Wales)'!H54,'Income (SE Wales)'!Z54)</f>
        <v>39000.630802685206</v>
      </c>
    </row>
    <row r="55" spans="2:33" x14ac:dyDescent="0.25">
      <c r="B55" s="20">
        <v>61</v>
      </c>
      <c r="C55" s="59">
        <v>33336.25</v>
      </c>
      <c r="D55" s="59">
        <f>C55*(1+'Tenure Split (SE Wales)'!C$109)+(C$44*(-(50-$B55)*('Tenure Split (SE Wales)'!C$110/40)))</f>
        <v>34587.868055867111</v>
      </c>
      <c r="E55" s="59">
        <f>D55*(1+'Tenure Split (SE Wales)'!D$109)+(D$44*(-(50-$B55)*('Tenure Split (SE Wales)'!D$110/40)))</f>
        <v>35551.989610714299</v>
      </c>
      <c r="F55" s="59">
        <f>E55*(1+'Tenure Split (SE Wales)'!E$109)+(E$44*(-(50-$B55)*('Tenure Split (SE Wales)'!E$110/40)))</f>
        <v>36794.951958859914</v>
      </c>
      <c r="G55" s="59">
        <f>F55*(1+'Tenure Split (SE Wales)'!F$109)+(F$44*(-(50-$B55)*('Tenure Split (SE Wales)'!F$110/40)))</f>
        <v>38238.791776375001</v>
      </c>
      <c r="H55" s="60">
        <f>G55*(1+'Tenure Split (SE Wales)'!G$109)+(G$44*(-(50-$B55)*('Tenure Split (SE Wales)'!G$110/40)))</f>
        <v>39776.452561426551</v>
      </c>
      <c r="L55" s="64" t="str">
        <f t="shared" si="0"/>
        <v/>
      </c>
      <c r="M55" s="251"/>
      <c r="N55" s="14">
        <f t="shared" si="3"/>
        <v>1</v>
      </c>
      <c r="T55" s="1">
        <f t="shared" si="1"/>
        <v>61</v>
      </c>
      <c r="U55" s="4" t="str">
        <f t="shared" si="2"/>
        <v/>
      </c>
      <c r="V55" s="59" t="e">
        <f>IF($K$4=$V$3,M55,U55*(1+'Tenure Split (SE Wales)'!C$109)+(U$44*(-(50-$B55)*('Tenure Split (SE Wales)'!C$110/40))))</f>
        <v>#VALUE!</v>
      </c>
      <c r="W55" s="59" t="e">
        <f>V55*(1+'Tenure Split (SE Wales)'!D$109)+(V$44*(-(50-$B55)*('Tenure Split (SE Wales)'!D$110/40)))</f>
        <v>#VALUE!</v>
      </c>
      <c r="X55" s="59" t="e">
        <f>W55*(1+'Tenure Split (SE Wales)'!E$109)+(W$44*(-(50-$B55)*('Tenure Split (SE Wales)'!E$110/40)))</f>
        <v>#VALUE!</v>
      </c>
      <c r="Y55" s="59" t="e">
        <f>X55*(1+'Tenure Split (SE Wales)'!F$109)+(X$44*(-(50-$B55)*('Tenure Split (SE Wales)'!F$110/40)))</f>
        <v>#VALUE!</v>
      </c>
      <c r="Z55" s="59" t="e">
        <f>Y55*(1+'Tenure Split (SE Wales)'!G$109)+(Y$44*(-(50-$B55)*('Tenure Split (SE Wales)'!G$110/40)))</f>
        <v>#VALUE!</v>
      </c>
      <c r="AB55" s="1">
        <v>61</v>
      </c>
      <c r="AC55" s="4">
        <f>IF('Tenure Split (WALES)'!$D$8="WG Estimates",'Income (SE Wales)'!D55,'Income (SE Wales)'!V55)</f>
        <v>34587.868055867111</v>
      </c>
      <c r="AD55" s="4">
        <f>IF('Tenure Split (WALES)'!$D$8="WG Estimates",'Income (SE Wales)'!E55,'Income (SE Wales)'!W55)</f>
        <v>35551.989610714299</v>
      </c>
      <c r="AE55" s="4">
        <f>IF('Tenure Split (WALES)'!$D$8="WG Estimates",'Income (SE Wales)'!F55,'Income (SE Wales)'!X55)</f>
        <v>36794.951958859914</v>
      </c>
      <c r="AF55" s="4">
        <f>IF('Tenure Split (WALES)'!$D$8="WG Estimates",'Income (SE Wales)'!G55,'Income (SE Wales)'!Y55)</f>
        <v>38238.791776375001</v>
      </c>
      <c r="AG55" s="4">
        <f>IF('Tenure Split (WALES)'!$D$8="WG Estimates",'Income (SE Wales)'!H55,'Income (SE Wales)'!Z55)</f>
        <v>39776.452561426551</v>
      </c>
    </row>
    <row r="56" spans="2:33" x14ac:dyDescent="0.25">
      <c r="B56" s="20">
        <v>62</v>
      </c>
      <c r="C56" s="59">
        <v>34285</v>
      </c>
      <c r="D56" s="59">
        <f>C56*(1+'Tenure Split (SE Wales)'!C$109)+(C$44*(-(50-$B56)*('Tenure Split (SE Wales)'!C$110/40)))</f>
        <v>35576.752278687731</v>
      </c>
      <c r="E56" s="59">
        <f>D56*(1+'Tenure Split (SE Wales)'!D$109)+(D$44*(-(50-$B56)*('Tenure Split (SE Wales)'!D$110/40)))</f>
        <v>36573.101605611926</v>
      </c>
      <c r="F56" s="59">
        <f>E56*(1+'Tenure Split (SE Wales)'!E$109)+(E$44*(-(50-$B56)*('Tenure Split (SE Wales)'!E$110/40)))</f>
        <v>37856.536777075249</v>
      </c>
      <c r="G56" s="59">
        <f>F56*(1+'Tenure Split (SE Wales)'!F$109)+(F$44*(-(50-$B56)*('Tenure Split (SE Wales)'!F$110/40)))</f>
        <v>39346.952523019041</v>
      </c>
      <c r="H56" s="60">
        <f>G56*(1+'Tenure Split (SE Wales)'!G$109)+(G$44*(-(50-$B56)*('Tenure Split (SE Wales)'!G$110/40)))</f>
        <v>40934.265766211334</v>
      </c>
      <c r="L56" s="64" t="str">
        <f t="shared" si="0"/>
        <v/>
      </c>
      <c r="M56" s="251"/>
      <c r="N56" s="14">
        <f t="shared" si="3"/>
        <v>1</v>
      </c>
      <c r="T56" s="1">
        <f t="shared" si="1"/>
        <v>62</v>
      </c>
      <c r="U56" s="4" t="str">
        <f t="shared" si="2"/>
        <v/>
      </c>
      <c r="V56" s="59" t="e">
        <f>IF($K$4=$V$3,M56,U56*(1+'Tenure Split (SE Wales)'!C$109)+(U$44*(-(50-$B56)*('Tenure Split (SE Wales)'!C$110/40))))</f>
        <v>#VALUE!</v>
      </c>
      <c r="W56" s="59" t="e">
        <f>V56*(1+'Tenure Split (SE Wales)'!D$109)+(V$44*(-(50-$B56)*('Tenure Split (SE Wales)'!D$110/40)))</f>
        <v>#VALUE!</v>
      </c>
      <c r="X56" s="59" t="e">
        <f>W56*(1+'Tenure Split (SE Wales)'!E$109)+(W$44*(-(50-$B56)*('Tenure Split (SE Wales)'!E$110/40)))</f>
        <v>#VALUE!</v>
      </c>
      <c r="Y56" s="59" t="e">
        <f>X56*(1+'Tenure Split (SE Wales)'!F$109)+(X$44*(-(50-$B56)*('Tenure Split (SE Wales)'!F$110/40)))</f>
        <v>#VALUE!</v>
      </c>
      <c r="Z56" s="59" t="e">
        <f>Y56*(1+'Tenure Split (SE Wales)'!G$109)+(Y$44*(-(50-$B56)*('Tenure Split (SE Wales)'!G$110/40)))</f>
        <v>#VALUE!</v>
      </c>
      <c r="AB56" s="1">
        <v>62</v>
      </c>
      <c r="AC56" s="4">
        <f>IF('Tenure Split (WALES)'!$D$8="WG Estimates",'Income (SE Wales)'!D56,'Income (SE Wales)'!V56)</f>
        <v>35576.752278687731</v>
      </c>
      <c r="AD56" s="4">
        <f>IF('Tenure Split (WALES)'!$D$8="WG Estimates",'Income (SE Wales)'!E56,'Income (SE Wales)'!W56)</f>
        <v>36573.101605611926</v>
      </c>
      <c r="AE56" s="4">
        <f>IF('Tenure Split (WALES)'!$D$8="WG Estimates",'Income (SE Wales)'!F56,'Income (SE Wales)'!X56)</f>
        <v>37856.536777075249</v>
      </c>
      <c r="AF56" s="4">
        <f>IF('Tenure Split (WALES)'!$D$8="WG Estimates",'Income (SE Wales)'!G56,'Income (SE Wales)'!Y56)</f>
        <v>39346.952523019041</v>
      </c>
      <c r="AG56" s="4">
        <f>IF('Tenure Split (WALES)'!$D$8="WG Estimates",'Income (SE Wales)'!H56,'Income (SE Wales)'!Z56)</f>
        <v>40934.265766211334</v>
      </c>
    </row>
    <row r="57" spans="2:33" x14ac:dyDescent="0.25">
      <c r="B57" s="20">
        <v>63</v>
      </c>
      <c r="C57" s="59">
        <v>35260.25</v>
      </c>
      <c r="D57" s="59">
        <f>C57*(1+'Tenure Split (SE Wales)'!C$109)+(C$44*(-(50-$B57)*('Tenure Split (SE Wales)'!C$110/40)))</f>
        <v>36593.074001618756</v>
      </c>
      <c r="E57" s="59">
        <f>D57*(1+'Tenure Split (SE Wales)'!D$109)+(D$44*(-(50-$B57)*('Tenure Split (SE Wales)'!D$110/40)))</f>
        <v>37622.3565515214</v>
      </c>
      <c r="F57" s="59">
        <f>E57*(1+'Tenure Split (SE Wales)'!E$109)+(E$44*(-(50-$B57)*('Tenure Split (SE Wales)'!E$110/40)))</f>
        <v>38947.187719849542</v>
      </c>
      <c r="G57" s="59">
        <f>F57*(1+'Tenure Split (SE Wales)'!F$109)+(F$44*(-(50-$B57)*('Tenure Split (SE Wales)'!F$110/40)))</f>
        <v>40485.25733623196</v>
      </c>
      <c r="H57" s="60">
        <f>G57*(1+'Tenure Split (SE Wales)'!G$109)+(G$44*(-(50-$B57)*('Tenure Split (SE Wales)'!G$110/40)))</f>
        <v>42123.370387750831</v>
      </c>
      <c r="L57" s="64" t="str">
        <f t="shared" si="0"/>
        <v/>
      </c>
      <c r="M57" s="251"/>
      <c r="N57" s="14">
        <f t="shared" si="3"/>
        <v>1</v>
      </c>
      <c r="T57" s="1">
        <f t="shared" si="1"/>
        <v>63</v>
      </c>
      <c r="U57" s="4" t="str">
        <f t="shared" si="2"/>
        <v/>
      </c>
      <c r="V57" s="59" t="e">
        <f>IF($K$4=$V$3,M57,U57*(1+'Tenure Split (SE Wales)'!C$109)+(U$44*(-(50-$B57)*('Tenure Split (SE Wales)'!C$110/40))))</f>
        <v>#VALUE!</v>
      </c>
      <c r="W57" s="59" t="e">
        <f>V57*(1+'Tenure Split (SE Wales)'!D$109)+(V$44*(-(50-$B57)*('Tenure Split (SE Wales)'!D$110/40)))</f>
        <v>#VALUE!</v>
      </c>
      <c r="X57" s="59" t="e">
        <f>W57*(1+'Tenure Split (SE Wales)'!E$109)+(W$44*(-(50-$B57)*('Tenure Split (SE Wales)'!E$110/40)))</f>
        <v>#VALUE!</v>
      </c>
      <c r="Y57" s="59" t="e">
        <f>X57*(1+'Tenure Split (SE Wales)'!F$109)+(X$44*(-(50-$B57)*('Tenure Split (SE Wales)'!F$110/40)))</f>
        <v>#VALUE!</v>
      </c>
      <c r="Z57" s="59" t="e">
        <f>Y57*(1+'Tenure Split (SE Wales)'!G$109)+(Y$44*(-(50-$B57)*('Tenure Split (SE Wales)'!G$110/40)))</f>
        <v>#VALUE!</v>
      </c>
      <c r="AB57" s="1">
        <v>63</v>
      </c>
      <c r="AC57" s="4">
        <f>IF('Tenure Split (WALES)'!$D$8="WG Estimates",'Income (SE Wales)'!D57,'Income (SE Wales)'!V57)</f>
        <v>36593.074001618756</v>
      </c>
      <c r="AD57" s="4">
        <f>IF('Tenure Split (WALES)'!$D$8="WG Estimates",'Income (SE Wales)'!E57,'Income (SE Wales)'!W57)</f>
        <v>37622.3565515214</v>
      </c>
      <c r="AE57" s="4">
        <f>IF('Tenure Split (WALES)'!$D$8="WG Estimates",'Income (SE Wales)'!F57,'Income (SE Wales)'!X57)</f>
        <v>38947.187719849542</v>
      </c>
      <c r="AF57" s="4">
        <f>IF('Tenure Split (WALES)'!$D$8="WG Estimates",'Income (SE Wales)'!G57,'Income (SE Wales)'!Y57)</f>
        <v>40485.25733623196</v>
      </c>
      <c r="AG57" s="4">
        <f>IF('Tenure Split (WALES)'!$D$8="WG Estimates",'Income (SE Wales)'!H57,'Income (SE Wales)'!Z57)</f>
        <v>42123.370387750831</v>
      </c>
    </row>
    <row r="58" spans="2:33" x14ac:dyDescent="0.25">
      <c r="B58" s="20">
        <v>64</v>
      </c>
      <c r="C58" s="59">
        <v>35961</v>
      </c>
      <c r="D58" s="59">
        <f>C58*(1+'Tenure Split (SE Wales)'!C$109)+(C$44*(-(50-$B58)*('Tenure Split (SE Wales)'!C$110/40)))</f>
        <v>37325.184638500497</v>
      </c>
      <c r="E58" s="59">
        <f>D58*(1+'Tenure Split (SE Wales)'!D$109)+(D$44*(-(50-$B58)*('Tenure Split (SE Wales)'!D$110/40)))</f>
        <v>38380.093004874208</v>
      </c>
      <c r="F58" s="59">
        <f>E58*(1+'Tenure Split (SE Wales)'!E$109)+(E$44*(-(50-$B58)*('Tenure Split (SE Wales)'!E$110/40)))</f>
        <v>39736.757485588649</v>
      </c>
      <c r="G58" s="59">
        <f>F58*(1+'Tenure Split (SE Wales)'!F$109)+(F$44*(-(50-$B58)*('Tenure Split (SE Wales)'!F$110/40)))</f>
        <v>41311.315120269195</v>
      </c>
      <c r="H58" s="60">
        <f>G58*(1+'Tenure Split (SE Wales)'!G$109)+(G$44*(-(50-$B58)*('Tenure Split (SE Wales)'!G$110/40)))</f>
        <v>42988.343164038648</v>
      </c>
      <c r="L58" s="64" t="str">
        <f t="shared" si="0"/>
        <v/>
      </c>
      <c r="M58" s="251"/>
      <c r="N58" s="14">
        <f t="shared" si="3"/>
        <v>1</v>
      </c>
      <c r="T58" s="1">
        <f t="shared" si="1"/>
        <v>64</v>
      </c>
      <c r="U58" s="4" t="str">
        <f t="shared" si="2"/>
        <v/>
      </c>
      <c r="V58" s="59" t="e">
        <f>IF($K$4=$V$3,M58,U58*(1+'Tenure Split (SE Wales)'!C$109)+(U$44*(-(50-$B58)*('Tenure Split (SE Wales)'!C$110/40))))</f>
        <v>#VALUE!</v>
      </c>
      <c r="W58" s="59" t="e">
        <f>V58*(1+'Tenure Split (SE Wales)'!D$109)+(V$44*(-(50-$B58)*('Tenure Split (SE Wales)'!D$110/40)))</f>
        <v>#VALUE!</v>
      </c>
      <c r="X58" s="59" t="e">
        <f>W58*(1+'Tenure Split (SE Wales)'!E$109)+(W$44*(-(50-$B58)*('Tenure Split (SE Wales)'!E$110/40)))</f>
        <v>#VALUE!</v>
      </c>
      <c r="Y58" s="59" t="e">
        <f>X58*(1+'Tenure Split (SE Wales)'!F$109)+(X$44*(-(50-$B58)*('Tenure Split (SE Wales)'!F$110/40)))</f>
        <v>#VALUE!</v>
      </c>
      <c r="Z58" s="59" t="e">
        <f>Y58*(1+'Tenure Split (SE Wales)'!G$109)+(Y$44*(-(50-$B58)*('Tenure Split (SE Wales)'!G$110/40)))</f>
        <v>#VALUE!</v>
      </c>
      <c r="AB58" s="1">
        <v>64</v>
      </c>
      <c r="AC58" s="4">
        <f>IF('Tenure Split (WALES)'!$D$8="WG Estimates",'Income (SE Wales)'!D58,'Income (SE Wales)'!V58)</f>
        <v>37325.184638500497</v>
      </c>
      <c r="AD58" s="4">
        <f>IF('Tenure Split (WALES)'!$D$8="WG Estimates",'Income (SE Wales)'!E58,'Income (SE Wales)'!W58)</f>
        <v>38380.093004874208</v>
      </c>
      <c r="AE58" s="4">
        <f>IF('Tenure Split (WALES)'!$D$8="WG Estimates",'Income (SE Wales)'!F58,'Income (SE Wales)'!X58)</f>
        <v>39736.757485588649</v>
      </c>
      <c r="AF58" s="4">
        <f>IF('Tenure Split (WALES)'!$D$8="WG Estimates",'Income (SE Wales)'!G58,'Income (SE Wales)'!Y58)</f>
        <v>41311.315120269195</v>
      </c>
      <c r="AG58" s="4">
        <f>IF('Tenure Split (WALES)'!$D$8="WG Estimates",'Income (SE Wales)'!H58,'Income (SE Wales)'!Z58)</f>
        <v>42988.343164038648</v>
      </c>
    </row>
    <row r="59" spans="2:33" x14ac:dyDescent="0.25">
      <c r="B59" s="20">
        <v>65</v>
      </c>
      <c r="C59" s="59">
        <v>36803.1</v>
      </c>
      <c r="D59" s="59">
        <f>C59*(1+'Tenure Split (SE Wales)'!C$109)+(C$44*(-(50-$B59)*('Tenure Split (SE Wales)'!C$110/40)))</f>
        <v>38203.645865593768</v>
      </c>
      <c r="E59" s="59">
        <f>D59*(1+'Tenure Split (SE Wales)'!D$109)+(D$44*(-(50-$B59)*('Tenure Split (SE Wales)'!D$110/40)))</f>
        <v>39287.942896926041</v>
      </c>
      <c r="F59" s="59">
        <f>E59*(1+'Tenure Split (SE Wales)'!E$109)+(E$44*(-(50-$B59)*('Tenure Split (SE Wales)'!E$110/40)))</f>
        <v>40681.364862890303</v>
      </c>
      <c r="G59" s="59">
        <f>F59*(1+'Tenure Split (SE Wales)'!F$109)+(F$44*(-(50-$B59)*('Tenure Split (SE Wales)'!F$110/40)))</f>
        <v>42298.160217872835</v>
      </c>
      <c r="H59" s="60">
        <f>G59*(1+'Tenure Split (SE Wales)'!G$109)+(G$44*(-(50-$B59)*('Tenure Split (SE Wales)'!G$110/40)))</f>
        <v>44020.223176487925</v>
      </c>
      <c r="L59" s="64" t="str">
        <f t="shared" si="0"/>
        <v/>
      </c>
      <c r="M59" s="251"/>
      <c r="N59" s="14">
        <f t="shared" si="3"/>
        <v>1</v>
      </c>
      <c r="T59" s="1">
        <f t="shared" si="1"/>
        <v>65</v>
      </c>
      <c r="U59" s="4" t="str">
        <f t="shared" si="2"/>
        <v/>
      </c>
      <c r="V59" s="59" t="e">
        <f>IF($K$4=$V$3,M59,U59*(1+'Tenure Split (SE Wales)'!C$109)+(U$44*(-(50-$B59)*('Tenure Split (SE Wales)'!C$110/40))))</f>
        <v>#VALUE!</v>
      </c>
      <c r="W59" s="59" t="e">
        <f>V59*(1+'Tenure Split (SE Wales)'!D$109)+(V$44*(-(50-$B59)*('Tenure Split (SE Wales)'!D$110/40)))</f>
        <v>#VALUE!</v>
      </c>
      <c r="X59" s="59" t="e">
        <f>W59*(1+'Tenure Split (SE Wales)'!E$109)+(W$44*(-(50-$B59)*('Tenure Split (SE Wales)'!E$110/40)))</f>
        <v>#VALUE!</v>
      </c>
      <c r="Y59" s="59" t="e">
        <f>X59*(1+'Tenure Split (SE Wales)'!F$109)+(X$44*(-(50-$B59)*('Tenure Split (SE Wales)'!F$110/40)))</f>
        <v>#VALUE!</v>
      </c>
      <c r="Z59" s="59" t="e">
        <f>Y59*(1+'Tenure Split (SE Wales)'!G$109)+(Y$44*(-(50-$B59)*('Tenure Split (SE Wales)'!G$110/40)))</f>
        <v>#VALUE!</v>
      </c>
      <c r="AB59" s="1">
        <v>65</v>
      </c>
      <c r="AC59" s="4">
        <f>IF('Tenure Split (WALES)'!$D$8="WG Estimates",'Income (SE Wales)'!D59,'Income (SE Wales)'!V59)</f>
        <v>38203.645865593768</v>
      </c>
      <c r="AD59" s="4">
        <f>IF('Tenure Split (WALES)'!$D$8="WG Estimates",'Income (SE Wales)'!E59,'Income (SE Wales)'!W59)</f>
        <v>39287.942896926041</v>
      </c>
      <c r="AE59" s="4">
        <f>IF('Tenure Split (WALES)'!$D$8="WG Estimates",'Income (SE Wales)'!F59,'Income (SE Wales)'!X59)</f>
        <v>40681.364862890303</v>
      </c>
      <c r="AF59" s="4">
        <f>IF('Tenure Split (WALES)'!$D$8="WG Estimates",'Income (SE Wales)'!G59,'Income (SE Wales)'!Y59)</f>
        <v>42298.160217872835</v>
      </c>
      <c r="AG59" s="4">
        <f>IF('Tenure Split (WALES)'!$D$8="WG Estimates",'Income (SE Wales)'!H59,'Income (SE Wales)'!Z59)</f>
        <v>44020.223176487925</v>
      </c>
    </row>
    <row r="60" spans="2:33" x14ac:dyDescent="0.25">
      <c r="B60" s="20">
        <v>66</v>
      </c>
      <c r="C60" s="59">
        <v>37179.4</v>
      </c>
      <c r="D60" s="59">
        <f>C60*(1+'Tenure Split (SE Wales)'!C$109)+(C$44*(-(50-$B60)*('Tenure Split (SE Wales)'!C$110/40)))</f>
        <v>38599.828317161518</v>
      </c>
      <c r="E60" s="59">
        <f>D60*(1+'Tenure Split (SE Wales)'!D$109)+(D$44*(-(50-$B60)*('Tenure Split (SE Wales)'!D$110/40)))</f>
        <v>39701.114050060234</v>
      </c>
      <c r="F60" s="59">
        <f>E60*(1+'Tenure Split (SE Wales)'!E$109)+(E$44*(-(50-$B60)*('Tenure Split (SE Wales)'!E$110/40)))</f>
        <v>41115.066548887822</v>
      </c>
      <c r="G60" s="59">
        <f>F60*(1+'Tenure Split (SE Wales)'!F$109)+(F$44*(-(50-$B60)*('Tenure Split (SE Wales)'!F$110/40)))</f>
        <v>42755.152251031926</v>
      </c>
      <c r="H60" s="60">
        <f>G60*(1+'Tenure Split (SE Wales)'!G$109)+(G$44*(-(50-$B60)*('Tenure Split (SE Wales)'!G$110/40)))</f>
        <v>44502.08273896185</v>
      </c>
      <c r="L60" s="64" t="str">
        <f t="shared" si="0"/>
        <v/>
      </c>
      <c r="M60" s="251"/>
      <c r="N60" s="14">
        <f t="shared" si="3"/>
        <v>1</v>
      </c>
      <c r="T60" s="1">
        <f t="shared" si="1"/>
        <v>66</v>
      </c>
      <c r="U60" s="4" t="str">
        <f t="shared" si="2"/>
        <v/>
      </c>
      <c r="V60" s="59" t="e">
        <f>IF($K$4=$V$3,M60,U60*(1+'Tenure Split (SE Wales)'!C$109)+(U$44*(-(50-$B60)*('Tenure Split (SE Wales)'!C$110/40))))</f>
        <v>#VALUE!</v>
      </c>
      <c r="W60" s="59" t="e">
        <f>V60*(1+'Tenure Split (SE Wales)'!D$109)+(V$44*(-(50-$B60)*('Tenure Split (SE Wales)'!D$110/40)))</f>
        <v>#VALUE!</v>
      </c>
      <c r="X60" s="59" t="e">
        <f>W60*(1+'Tenure Split (SE Wales)'!E$109)+(W$44*(-(50-$B60)*('Tenure Split (SE Wales)'!E$110/40)))</f>
        <v>#VALUE!</v>
      </c>
      <c r="Y60" s="59" t="e">
        <f>X60*(1+'Tenure Split (SE Wales)'!F$109)+(X$44*(-(50-$B60)*('Tenure Split (SE Wales)'!F$110/40)))</f>
        <v>#VALUE!</v>
      </c>
      <c r="Z60" s="59" t="e">
        <f>Y60*(1+'Tenure Split (SE Wales)'!G$109)+(Y$44*(-(50-$B60)*('Tenure Split (SE Wales)'!G$110/40)))</f>
        <v>#VALUE!</v>
      </c>
      <c r="AB60" s="1">
        <v>66</v>
      </c>
      <c r="AC60" s="4">
        <f>IF('Tenure Split (WALES)'!$D$8="WG Estimates",'Income (SE Wales)'!D60,'Income (SE Wales)'!V60)</f>
        <v>38599.828317161518</v>
      </c>
      <c r="AD60" s="4">
        <f>IF('Tenure Split (WALES)'!$D$8="WG Estimates",'Income (SE Wales)'!E60,'Income (SE Wales)'!W60)</f>
        <v>39701.114050060234</v>
      </c>
      <c r="AE60" s="4">
        <f>IF('Tenure Split (WALES)'!$D$8="WG Estimates",'Income (SE Wales)'!F60,'Income (SE Wales)'!X60)</f>
        <v>41115.066548887822</v>
      </c>
      <c r="AF60" s="4">
        <f>IF('Tenure Split (WALES)'!$D$8="WG Estimates",'Income (SE Wales)'!G60,'Income (SE Wales)'!Y60)</f>
        <v>42755.152251031926</v>
      </c>
      <c r="AG60" s="4">
        <f>IF('Tenure Split (WALES)'!$D$8="WG Estimates",'Income (SE Wales)'!H60,'Income (SE Wales)'!Z60)</f>
        <v>44502.08273896185</v>
      </c>
    </row>
    <row r="61" spans="2:33" x14ac:dyDescent="0.25">
      <c r="B61" s="20">
        <v>67</v>
      </c>
      <c r="C61" s="59">
        <v>37778</v>
      </c>
      <c r="D61" s="59">
        <f>C61*(1+'Tenure Split (SE Wales)'!C$109)+(C$44*(-(50-$B61)*('Tenure Split (SE Wales)'!C$110/40)))</f>
        <v>39226.175156447862</v>
      </c>
      <c r="E61" s="59">
        <f>D61*(1+'Tenure Split (SE Wales)'!D$109)+(D$44*(-(50-$B61)*('Tenure Split (SE Wales)'!D$110/40)))</f>
        <v>40350.367392248503</v>
      </c>
      <c r="F61" s="59">
        <f>E61*(1+'Tenure Split (SE Wales)'!E$109)+(E$44*(-(50-$B61)*('Tenure Split (SE Wales)'!E$110/40)))</f>
        <v>41792.594630713822</v>
      </c>
      <c r="G61" s="59">
        <f>F61*(1+'Tenure Split (SE Wales)'!F$109)+(F$44*(-(50-$B61)*('Tenure Split (SE Wales)'!F$110/40)))</f>
        <v>43465.013189785743</v>
      </c>
      <c r="H61" s="60">
        <f>G61*(1+'Tenure Split (SE Wales)'!G$109)+(G$44*(-(50-$B61)*('Tenure Split (SE Wales)'!G$110/40)))</f>
        <v>45246.435959721559</v>
      </c>
      <c r="L61" s="64" t="str">
        <f t="shared" si="0"/>
        <v/>
      </c>
      <c r="M61" s="251"/>
      <c r="N61" s="14">
        <f t="shared" si="3"/>
        <v>1</v>
      </c>
      <c r="T61" s="1">
        <f t="shared" si="1"/>
        <v>67</v>
      </c>
      <c r="U61" s="4" t="str">
        <f t="shared" si="2"/>
        <v/>
      </c>
      <c r="V61" s="59" t="e">
        <f>IF($K$4=$V$3,M61,U61*(1+'Tenure Split (SE Wales)'!C$109)+(U$44*(-(50-$B61)*('Tenure Split (SE Wales)'!C$110/40))))</f>
        <v>#VALUE!</v>
      </c>
      <c r="W61" s="59" t="e">
        <f>V61*(1+'Tenure Split (SE Wales)'!D$109)+(V$44*(-(50-$B61)*('Tenure Split (SE Wales)'!D$110/40)))</f>
        <v>#VALUE!</v>
      </c>
      <c r="X61" s="59" t="e">
        <f>W61*(1+'Tenure Split (SE Wales)'!E$109)+(W$44*(-(50-$B61)*('Tenure Split (SE Wales)'!E$110/40)))</f>
        <v>#VALUE!</v>
      </c>
      <c r="Y61" s="59" t="e">
        <f>X61*(1+'Tenure Split (SE Wales)'!F$109)+(X$44*(-(50-$B61)*('Tenure Split (SE Wales)'!F$110/40)))</f>
        <v>#VALUE!</v>
      </c>
      <c r="Z61" s="59" t="e">
        <f>Y61*(1+'Tenure Split (SE Wales)'!G$109)+(Y$44*(-(50-$B61)*('Tenure Split (SE Wales)'!G$110/40)))</f>
        <v>#VALUE!</v>
      </c>
      <c r="AB61" s="1">
        <v>67</v>
      </c>
      <c r="AC61" s="4">
        <f>IF('Tenure Split (WALES)'!$D$8="WG Estimates",'Income (SE Wales)'!D61,'Income (SE Wales)'!V61)</f>
        <v>39226.175156447862</v>
      </c>
      <c r="AD61" s="4">
        <f>IF('Tenure Split (WALES)'!$D$8="WG Estimates",'Income (SE Wales)'!E61,'Income (SE Wales)'!W61)</f>
        <v>40350.367392248503</v>
      </c>
      <c r="AE61" s="4">
        <f>IF('Tenure Split (WALES)'!$D$8="WG Estimates",'Income (SE Wales)'!F61,'Income (SE Wales)'!X61)</f>
        <v>41792.594630713822</v>
      </c>
      <c r="AF61" s="4">
        <f>IF('Tenure Split (WALES)'!$D$8="WG Estimates",'Income (SE Wales)'!G61,'Income (SE Wales)'!Y61)</f>
        <v>43465.013189785743</v>
      </c>
      <c r="AG61" s="4">
        <f>IF('Tenure Split (WALES)'!$D$8="WG Estimates",'Income (SE Wales)'!H61,'Income (SE Wales)'!Z61)</f>
        <v>45246.435959721559</v>
      </c>
    </row>
    <row r="62" spans="2:33" x14ac:dyDescent="0.25">
      <c r="B62" s="20">
        <v>68</v>
      </c>
      <c r="C62" s="59">
        <v>38864</v>
      </c>
      <c r="D62" s="59">
        <f>C62*(1+'Tenure Split (SE Wales)'!C$109)+(C$44*(-(50-$B62)*('Tenure Split (SE Wales)'!C$110/40)))</f>
        <v>40357.16492229313</v>
      </c>
      <c r="E62" s="59">
        <f>D62*(1+'Tenure Split (SE Wales)'!D$109)+(D$44*(-(50-$B62)*('Tenure Split (SE Wales)'!D$110/40)))</f>
        <v>41517.238633424466</v>
      </c>
      <c r="F62" s="59">
        <f>E62*(1+'Tenure Split (SE Wales)'!E$109)+(E$44*(-(50-$B62)*('Tenure Split (SE Wales)'!E$110/40)))</f>
        <v>43004.720037446757</v>
      </c>
      <c r="G62" s="59">
        <f>F62*(1+'Tenure Split (SE Wales)'!F$109)+(F$44*(-(50-$B62)*('Tenure Split (SE Wales)'!F$110/40)))</f>
        <v>44729.297451017628</v>
      </c>
      <c r="H62" s="60">
        <f>G62*(1+'Tenure Split (SE Wales)'!G$109)+(G$44*(-(50-$B62)*('Tenure Split (SE Wales)'!G$110/40)))</f>
        <v>46566.315087132192</v>
      </c>
      <c r="L62" s="64" t="str">
        <f t="shared" si="0"/>
        <v/>
      </c>
      <c r="M62" s="251"/>
      <c r="N62" s="14">
        <f t="shared" si="3"/>
        <v>1</v>
      </c>
      <c r="T62" s="1">
        <f t="shared" si="1"/>
        <v>68</v>
      </c>
      <c r="U62" s="4" t="str">
        <f t="shared" si="2"/>
        <v/>
      </c>
      <c r="V62" s="59" t="e">
        <f>IF($K$4=$V$3,M62,U62*(1+'Tenure Split (SE Wales)'!C$109)+(U$44*(-(50-$B62)*('Tenure Split (SE Wales)'!C$110/40))))</f>
        <v>#VALUE!</v>
      </c>
      <c r="W62" s="59" t="e">
        <f>V62*(1+'Tenure Split (SE Wales)'!D$109)+(V$44*(-(50-$B62)*('Tenure Split (SE Wales)'!D$110/40)))</f>
        <v>#VALUE!</v>
      </c>
      <c r="X62" s="59" t="e">
        <f>W62*(1+'Tenure Split (SE Wales)'!E$109)+(W$44*(-(50-$B62)*('Tenure Split (SE Wales)'!E$110/40)))</f>
        <v>#VALUE!</v>
      </c>
      <c r="Y62" s="59" t="e">
        <f>X62*(1+'Tenure Split (SE Wales)'!F$109)+(X$44*(-(50-$B62)*('Tenure Split (SE Wales)'!F$110/40)))</f>
        <v>#VALUE!</v>
      </c>
      <c r="Z62" s="59" t="e">
        <f>Y62*(1+'Tenure Split (SE Wales)'!G$109)+(Y$44*(-(50-$B62)*('Tenure Split (SE Wales)'!G$110/40)))</f>
        <v>#VALUE!</v>
      </c>
      <c r="AB62" s="1">
        <v>68</v>
      </c>
      <c r="AC62" s="4">
        <f>IF('Tenure Split (WALES)'!$D$8="WG Estimates",'Income (SE Wales)'!D62,'Income (SE Wales)'!V62)</f>
        <v>40357.16492229313</v>
      </c>
      <c r="AD62" s="4">
        <f>IF('Tenure Split (WALES)'!$D$8="WG Estimates",'Income (SE Wales)'!E62,'Income (SE Wales)'!W62)</f>
        <v>41517.238633424466</v>
      </c>
      <c r="AE62" s="4">
        <f>IF('Tenure Split (WALES)'!$D$8="WG Estimates",'Income (SE Wales)'!F62,'Income (SE Wales)'!X62)</f>
        <v>43004.720037446757</v>
      </c>
      <c r="AF62" s="4">
        <f>IF('Tenure Split (WALES)'!$D$8="WG Estimates",'Income (SE Wales)'!G62,'Income (SE Wales)'!Y62)</f>
        <v>44729.297451017628</v>
      </c>
      <c r="AG62" s="4">
        <f>IF('Tenure Split (WALES)'!$D$8="WG Estimates",'Income (SE Wales)'!H62,'Income (SE Wales)'!Z62)</f>
        <v>46566.315087132192</v>
      </c>
    </row>
    <row r="63" spans="2:33" x14ac:dyDescent="0.25">
      <c r="B63" s="20">
        <v>69</v>
      </c>
      <c r="C63" s="59">
        <v>39496</v>
      </c>
      <c r="D63" s="59">
        <f>C63*(1+'Tenure Split (SE Wales)'!C$109)+(C$44*(-(50-$B63)*('Tenure Split (SE Wales)'!C$110/40)))</f>
        <v>41018.093365492219</v>
      </c>
      <c r="E63" s="59">
        <f>D63*(1+'Tenure Split (SE Wales)'!D$109)+(D$44*(-(50-$B63)*('Tenure Split (SE Wales)'!D$110/40)))</f>
        <v>42201.962713869187</v>
      </c>
      <c r="F63" s="59">
        <f>E63*(1+'Tenure Split (SE Wales)'!E$109)+(E$44*(-(50-$B63)*('Tenure Split (SE Wales)'!E$110/40)))</f>
        <v>43718.882404565949</v>
      </c>
      <c r="G63" s="59">
        <f>F63*(1+'Tenure Split (SE Wales)'!F$109)+(F$44*(-(50-$B63)*('Tenure Split (SE Wales)'!F$110/40)))</f>
        <v>45477.151288767702</v>
      </c>
      <c r="H63" s="60">
        <f>G63*(1+'Tenure Split (SE Wales)'!G$109)+(G$44*(-(50-$B63)*('Tenure Split (SE Wales)'!G$110/40)))</f>
        <v>47350.107301084659</v>
      </c>
      <c r="L63" s="64" t="str">
        <f t="shared" si="0"/>
        <v/>
      </c>
      <c r="M63" s="251"/>
      <c r="N63" s="14">
        <f t="shared" si="3"/>
        <v>1</v>
      </c>
      <c r="T63" s="1">
        <f t="shared" si="1"/>
        <v>69</v>
      </c>
      <c r="U63" s="4" t="str">
        <f t="shared" si="2"/>
        <v/>
      </c>
      <c r="V63" s="59" t="e">
        <f>IF($K$4=$V$3,M63,U63*(1+'Tenure Split (SE Wales)'!C$109)+(U$44*(-(50-$B63)*('Tenure Split (SE Wales)'!C$110/40))))</f>
        <v>#VALUE!</v>
      </c>
      <c r="W63" s="59" t="e">
        <f>V63*(1+'Tenure Split (SE Wales)'!D$109)+(V$44*(-(50-$B63)*('Tenure Split (SE Wales)'!D$110/40)))</f>
        <v>#VALUE!</v>
      </c>
      <c r="X63" s="59" t="e">
        <f>W63*(1+'Tenure Split (SE Wales)'!E$109)+(W$44*(-(50-$B63)*('Tenure Split (SE Wales)'!E$110/40)))</f>
        <v>#VALUE!</v>
      </c>
      <c r="Y63" s="59" t="e">
        <f>X63*(1+'Tenure Split (SE Wales)'!F$109)+(X$44*(-(50-$B63)*('Tenure Split (SE Wales)'!F$110/40)))</f>
        <v>#VALUE!</v>
      </c>
      <c r="Z63" s="59" t="e">
        <f>Y63*(1+'Tenure Split (SE Wales)'!G$109)+(Y$44*(-(50-$B63)*('Tenure Split (SE Wales)'!G$110/40)))</f>
        <v>#VALUE!</v>
      </c>
      <c r="AB63" s="1">
        <v>69</v>
      </c>
      <c r="AC63" s="4">
        <f>IF('Tenure Split (WALES)'!$D$8="WG Estimates",'Income (SE Wales)'!D63,'Income (SE Wales)'!V63)</f>
        <v>41018.093365492219</v>
      </c>
      <c r="AD63" s="4">
        <f>IF('Tenure Split (WALES)'!$D$8="WG Estimates",'Income (SE Wales)'!E63,'Income (SE Wales)'!W63)</f>
        <v>42201.962713869187</v>
      </c>
      <c r="AE63" s="4">
        <f>IF('Tenure Split (WALES)'!$D$8="WG Estimates",'Income (SE Wales)'!F63,'Income (SE Wales)'!X63)</f>
        <v>43718.882404565949</v>
      </c>
      <c r="AF63" s="4">
        <f>IF('Tenure Split (WALES)'!$D$8="WG Estimates",'Income (SE Wales)'!G63,'Income (SE Wales)'!Y63)</f>
        <v>45477.151288767702</v>
      </c>
      <c r="AG63" s="4">
        <f>IF('Tenure Split (WALES)'!$D$8="WG Estimates",'Income (SE Wales)'!H63,'Income (SE Wales)'!Z63)</f>
        <v>47350.107301084659</v>
      </c>
    </row>
    <row r="64" spans="2:33" x14ac:dyDescent="0.25">
      <c r="B64" s="20">
        <v>70</v>
      </c>
      <c r="C64" s="59">
        <v>40532.5</v>
      </c>
      <c r="D64" s="59">
        <f>C64*(1+'Tenure Split (SE Wales)'!C$109)+(C$44*(-(50-$B64)*('Tenure Split (SE Wales)'!C$110/40)))</f>
        <v>42097.831951885964</v>
      </c>
      <c r="E64" s="59">
        <f>D64*(1+'Tenure Split (SE Wales)'!D$109)+(D$44*(-(50-$B64)*('Tenure Split (SE Wales)'!D$110/40)))</f>
        <v>43316.265046551314</v>
      </c>
      <c r="F64" s="59">
        <f>E64*(1+'Tenure Split (SE Wales)'!E$109)+(E$44*(-(50-$B64)*('Tenure Split (SE Wales)'!E$110/40)))</f>
        <v>44876.714484292519</v>
      </c>
      <c r="G64" s="59">
        <f>F64*(1+'Tenure Split (SE Wales)'!F$109)+(F$44*(-(50-$B64)*('Tenure Split (SE Wales)'!F$110/40)))</f>
        <v>46685.128708672812</v>
      </c>
      <c r="H64" s="60">
        <f>G64*(1+'Tenure Split (SE Wales)'!G$109)+(G$44*(-(50-$B64)*('Tenure Split (SE Wales)'!G$110/40)))</f>
        <v>48611.536423613827</v>
      </c>
      <c r="L64" s="64" t="str">
        <f t="shared" si="0"/>
        <v/>
      </c>
      <c r="M64" s="251"/>
      <c r="N64" s="14">
        <f t="shared" si="3"/>
        <v>1</v>
      </c>
      <c r="T64" s="1">
        <f t="shared" si="1"/>
        <v>70</v>
      </c>
      <c r="U64" s="4" t="str">
        <f t="shared" si="2"/>
        <v/>
      </c>
      <c r="V64" s="59" t="e">
        <f>IF($K$4=$V$3,M64,U64*(1+'Tenure Split (SE Wales)'!C$109)+(U$44*(-(50-$B64)*('Tenure Split (SE Wales)'!C$110/40))))</f>
        <v>#VALUE!</v>
      </c>
      <c r="W64" s="59" t="e">
        <f>V64*(1+'Tenure Split (SE Wales)'!D$109)+(V$44*(-(50-$B64)*('Tenure Split (SE Wales)'!D$110/40)))</f>
        <v>#VALUE!</v>
      </c>
      <c r="X64" s="59" t="e">
        <f>W64*(1+'Tenure Split (SE Wales)'!E$109)+(W$44*(-(50-$B64)*('Tenure Split (SE Wales)'!E$110/40)))</f>
        <v>#VALUE!</v>
      </c>
      <c r="Y64" s="59" t="e">
        <f>X64*(1+'Tenure Split (SE Wales)'!F$109)+(X$44*(-(50-$B64)*('Tenure Split (SE Wales)'!F$110/40)))</f>
        <v>#VALUE!</v>
      </c>
      <c r="Z64" s="59" t="e">
        <f>Y64*(1+'Tenure Split (SE Wales)'!G$109)+(Y$44*(-(50-$B64)*('Tenure Split (SE Wales)'!G$110/40)))</f>
        <v>#VALUE!</v>
      </c>
      <c r="AB64" s="1">
        <v>70</v>
      </c>
      <c r="AC64" s="4">
        <f>IF('Tenure Split (WALES)'!$D$8="WG Estimates",'Income (SE Wales)'!D64,'Income (SE Wales)'!V64)</f>
        <v>42097.831951885964</v>
      </c>
      <c r="AD64" s="4">
        <f>IF('Tenure Split (WALES)'!$D$8="WG Estimates",'Income (SE Wales)'!E64,'Income (SE Wales)'!W64)</f>
        <v>43316.265046551314</v>
      </c>
      <c r="AE64" s="4">
        <f>IF('Tenure Split (WALES)'!$D$8="WG Estimates",'Income (SE Wales)'!F64,'Income (SE Wales)'!X64)</f>
        <v>44876.714484292519</v>
      </c>
      <c r="AF64" s="4">
        <f>IF('Tenure Split (WALES)'!$D$8="WG Estimates",'Income (SE Wales)'!G64,'Income (SE Wales)'!Y64)</f>
        <v>46685.128708672812</v>
      </c>
      <c r="AG64" s="4">
        <f>IF('Tenure Split (WALES)'!$D$8="WG Estimates",'Income (SE Wales)'!H64,'Income (SE Wales)'!Z64)</f>
        <v>48611.536423613827</v>
      </c>
    </row>
    <row r="65" spans="2:33" x14ac:dyDescent="0.25">
      <c r="B65" s="20">
        <v>71</v>
      </c>
      <c r="C65" s="59">
        <v>41787</v>
      </c>
      <c r="D65" s="59">
        <f>C65*(1+'Tenure Split (SE Wales)'!C$109)+(C$44*(-(50-$B65)*('Tenure Split (SE Wales)'!C$110/40)))</f>
        <v>43403.282803338901</v>
      </c>
      <c r="E65" s="59">
        <f>D65*(1+'Tenure Split (SE Wales)'!D$109)+(D$44*(-(50-$B65)*('Tenure Split (SE Wales)'!D$110/40)))</f>
        <v>44662.082976236561</v>
      </c>
      <c r="F65" s="59">
        <f>E65*(1+'Tenure Split (SE Wales)'!E$109)+(E$44*(-(50-$B65)*('Tenure Split (SE Wales)'!E$110/40)))</f>
        <v>46273.656569824831</v>
      </c>
      <c r="G65" s="59">
        <f>F65*(1+'Tenure Split (SE Wales)'!F$109)+(F$44*(-(50-$B65)*('Tenure Split (SE Wales)'!F$110/40)))</f>
        <v>48141.083732804895</v>
      </c>
      <c r="H65" s="60">
        <f>G65*(1+'Tenure Split (SE Wales)'!G$109)+(G$44*(-(50-$B65)*('Tenure Split (SE Wales)'!G$110/40)))</f>
        <v>50130.381729257293</v>
      </c>
      <c r="L65" s="64" t="str">
        <f t="shared" si="0"/>
        <v/>
      </c>
      <c r="M65" s="251"/>
      <c r="N65" s="14">
        <f t="shared" si="3"/>
        <v>1</v>
      </c>
      <c r="T65" s="1">
        <f t="shared" si="1"/>
        <v>71</v>
      </c>
      <c r="U65" s="4" t="str">
        <f t="shared" si="2"/>
        <v/>
      </c>
      <c r="V65" s="59" t="e">
        <f>IF($K$4=$V$3,M65,U65*(1+'Tenure Split (SE Wales)'!C$109)+(U$44*(-(50-$B65)*('Tenure Split (SE Wales)'!C$110/40))))</f>
        <v>#VALUE!</v>
      </c>
      <c r="W65" s="59" t="e">
        <f>V65*(1+'Tenure Split (SE Wales)'!D$109)+(V$44*(-(50-$B65)*('Tenure Split (SE Wales)'!D$110/40)))</f>
        <v>#VALUE!</v>
      </c>
      <c r="X65" s="59" t="e">
        <f>W65*(1+'Tenure Split (SE Wales)'!E$109)+(W$44*(-(50-$B65)*('Tenure Split (SE Wales)'!E$110/40)))</f>
        <v>#VALUE!</v>
      </c>
      <c r="Y65" s="59" t="e">
        <f>X65*(1+'Tenure Split (SE Wales)'!F$109)+(X$44*(-(50-$B65)*('Tenure Split (SE Wales)'!F$110/40)))</f>
        <v>#VALUE!</v>
      </c>
      <c r="Z65" s="59" t="e">
        <f>Y65*(1+'Tenure Split (SE Wales)'!G$109)+(Y$44*(-(50-$B65)*('Tenure Split (SE Wales)'!G$110/40)))</f>
        <v>#VALUE!</v>
      </c>
      <c r="AB65" s="1">
        <v>71</v>
      </c>
      <c r="AC65" s="4">
        <f>IF('Tenure Split (WALES)'!$D$8="WG Estimates",'Income (SE Wales)'!D65,'Income (SE Wales)'!V65)</f>
        <v>43403.282803338901</v>
      </c>
      <c r="AD65" s="4">
        <f>IF('Tenure Split (WALES)'!$D$8="WG Estimates",'Income (SE Wales)'!E65,'Income (SE Wales)'!W65)</f>
        <v>44662.082976236561</v>
      </c>
      <c r="AE65" s="4">
        <f>IF('Tenure Split (WALES)'!$D$8="WG Estimates",'Income (SE Wales)'!F65,'Income (SE Wales)'!X65)</f>
        <v>46273.656569824831</v>
      </c>
      <c r="AF65" s="4">
        <f>IF('Tenure Split (WALES)'!$D$8="WG Estimates",'Income (SE Wales)'!G65,'Income (SE Wales)'!Y65)</f>
        <v>48141.083732804895</v>
      </c>
      <c r="AG65" s="4">
        <f>IF('Tenure Split (WALES)'!$D$8="WG Estimates",'Income (SE Wales)'!H65,'Income (SE Wales)'!Z65)</f>
        <v>50130.381729257293</v>
      </c>
    </row>
    <row r="66" spans="2:33" x14ac:dyDescent="0.25">
      <c r="B66" s="20">
        <v>72</v>
      </c>
      <c r="C66" s="59">
        <v>42743.199999999997</v>
      </c>
      <c r="D66" s="59">
        <f>C66*(1+'Tenure Split (SE Wales)'!C$109)+(C$44*(-(50-$B66)*('Tenure Split (SE Wales)'!C$110/40)))</f>
        <v>44399.88058751131</v>
      </c>
      <c r="E66" s="59">
        <f>D66*(1+'Tenure Split (SE Wales)'!D$109)+(D$44*(-(50-$B66)*('Tenure Split (SE Wales)'!D$110/40)))</f>
        <v>45691.106857362043</v>
      </c>
      <c r="F66" s="59">
        <f>E66*(1+'Tenure Split (SE Wales)'!E$109)+(E$44*(-(50-$B66)*('Tenure Split (SE Wales)'!E$110/40)))</f>
        <v>47343.412807963352</v>
      </c>
      <c r="G66" s="59">
        <f>F66*(1+'Tenure Split (SE Wales)'!F$109)+(F$44*(-(50-$B66)*('Tenure Split (SE Wales)'!F$110/40)))</f>
        <v>49257.718943446605</v>
      </c>
      <c r="H66" s="60">
        <f>G66*(1+'Tenure Split (SE Wales)'!G$109)+(G$44*(-(50-$B66)*('Tenure Split (SE Wales)'!G$110/40)))</f>
        <v>51296.991954978788</v>
      </c>
      <c r="L66" s="64" t="str">
        <f t="shared" si="0"/>
        <v/>
      </c>
      <c r="M66" s="251"/>
      <c r="N66" s="14">
        <f t="shared" si="3"/>
        <v>1</v>
      </c>
      <c r="T66" s="1">
        <f t="shared" si="1"/>
        <v>72</v>
      </c>
      <c r="U66" s="4" t="str">
        <f t="shared" si="2"/>
        <v/>
      </c>
      <c r="V66" s="59" t="e">
        <f>IF($K$4=$V$3,M66,U66*(1+'Tenure Split (SE Wales)'!C$109)+(U$44*(-(50-$B66)*('Tenure Split (SE Wales)'!C$110/40))))</f>
        <v>#VALUE!</v>
      </c>
      <c r="W66" s="59" t="e">
        <f>V66*(1+'Tenure Split (SE Wales)'!D$109)+(V$44*(-(50-$B66)*('Tenure Split (SE Wales)'!D$110/40)))</f>
        <v>#VALUE!</v>
      </c>
      <c r="X66" s="59" t="e">
        <f>W66*(1+'Tenure Split (SE Wales)'!E$109)+(W$44*(-(50-$B66)*('Tenure Split (SE Wales)'!E$110/40)))</f>
        <v>#VALUE!</v>
      </c>
      <c r="Y66" s="59" t="e">
        <f>X66*(1+'Tenure Split (SE Wales)'!F$109)+(X$44*(-(50-$B66)*('Tenure Split (SE Wales)'!F$110/40)))</f>
        <v>#VALUE!</v>
      </c>
      <c r="Z66" s="59" t="e">
        <f>Y66*(1+'Tenure Split (SE Wales)'!G$109)+(Y$44*(-(50-$B66)*('Tenure Split (SE Wales)'!G$110/40)))</f>
        <v>#VALUE!</v>
      </c>
      <c r="AB66" s="1">
        <v>72</v>
      </c>
      <c r="AC66" s="4">
        <f>IF('Tenure Split (WALES)'!$D$8="WG Estimates",'Income (SE Wales)'!D66,'Income (SE Wales)'!V66)</f>
        <v>44399.88058751131</v>
      </c>
      <c r="AD66" s="4">
        <f>IF('Tenure Split (WALES)'!$D$8="WG Estimates",'Income (SE Wales)'!E66,'Income (SE Wales)'!W66)</f>
        <v>45691.106857362043</v>
      </c>
      <c r="AE66" s="4">
        <f>IF('Tenure Split (WALES)'!$D$8="WG Estimates",'Income (SE Wales)'!F66,'Income (SE Wales)'!X66)</f>
        <v>47343.412807963352</v>
      </c>
      <c r="AF66" s="4">
        <f>IF('Tenure Split (WALES)'!$D$8="WG Estimates",'Income (SE Wales)'!G66,'Income (SE Wales)'!Y66)</f>
        <v>49257.718943446605</v>
      </c>
      <c r="AG66" s="4">
        <f>IF('Tenure Split (WALES)'!$D$8="WG Estimates",'Income (SE Wales)'!H66,'Income (SE Wales)'!Z66)</f>
        <v>51296.991954978788</v>
      </c>
    </row>
    <row r="67" spans="2:33" x14ac:dyDescent="0.25">
      <c r="B67" s="20">
        <v>73</v>
      </c>
      <c r="C67" s="59">
        <v>43591.6</v>
      </c>
      <c r="D67" s="59">
        <f>C67*(1+'Tenure Split (SE Wales)'!C$109)+(C$44*(-(50-$B67)*('Tenure Split (SE Wales)'!C$110/40)))</f>
        <v>45284.864691989322</v>
      </c>
      <c r="E67" s="59">
        <f>D67*(1+'Tenure Split (SE Wales)'!D$109)+(D$44*(-(50-$B67)*('Tenure Split (SE Wales)'!D$110/40)))</f>
        <v>46605.647337767645</v>
      </c>
      <c r="F67" s="59">
        <f>E67*(1+'Tenure Split (SE Wales)'!E$109)+(E$44*(-(50-$B67)*('Tenure Split (SE Wales)'!E$110/40)))</f>
        <v>48294.930245065822</v>
      </c>
      <c r="G67" s="59">
        <f>F67*(1+'Tenure Split (SE Wales)'!F$109)+(F$44*(-(50-$B67)*('Tenure Split (SE Wales)'!F$110/40)))</f>
        <v>50251.730366310025</v>
      </c>
      <c r="H67" s="60">
        <f>G67*(1+'Tenure Split (SE Wales)'!G$109)+(G$44*(-(50-$B67)*('Tenure Split (SE Wales)'!G$110/40)))</f>
        <v>52336.311058958439</v>
      </c>
      <c r="L67" s="64" t="str">
        <f t="shared" si="0"/>
        <v/>
      </c>
      <c r="M67" s="251"/>
      <c r="N67" s="14">
        <f t="shared" si="3"/>
        <v>1</v>
      </c>
      <c r="T67" s="1">
        <f t="shared" si="1"/>
        <v>73</v>
      </c>
      <c r="U67" s="4" t="str">
        <f t="shared" si="2"/>
        <v/>
      </c>
      <c r="V67" s="59" t="e">
        <f>IF($K$4=$V$3,M67,U67*(1+'Tenure Split (SE Wales)'!C$109)+(U$44*(-(50-$B67)*('Tenure Split (SE Wales)'!C$110/40))))</f>
        <v>#VALUE!</v>
      </c>
      <c r="W67" s="59" t="e">
        <f>V67*(1+'Tenure Split (SE Wales)'!D$109)+(V$44*(-(50-$B67)*('Tenure Split (SE Wales)'!D$110/40)))</f>
        <v>#VALUE!</v>
      </c>
      <c r="X67" s="59" t="e">
        <f>W67*(1+'Tenure Split (SE Wales)'!E$109)+(W$44*(-(50-$B67)*('Tenure Split (SE Wales)'!E$110/40)))</f>
        <v>#VALUE!</v>
      </c>
      <c r="Y67" s="59" t="e">
        <f>X67*(1+'Tenure Split (SE Wales)'!F$109)+(X$44*(-(50-$B67)*('Tenure Split (SE Wales)'!F$110/40)))</f>
        <v>#VALUE!</v>
      </c>
      <c r="Z67" s="59" t="e">
        <f>Y67*(1+'Tenure Split (SE Wales)'!G$109)+(Y$44*(-(50-$B67)*('Tenure Split (SE Wales)'!G$110/40)))</f>
        <v>#VALUE!</v>
      </c>
      <c r="AB67" s="1">
        <v>73</v>
      </c>
      <c r="AC67" s="4">
        <f>IF('Tenure Split (WALES)'!$D$8="WG Estimates",'Income (SE Wales)'!D67,'Income (SE Wales)'!V67)</f>
        <v>45284.864691989322</v>
      </c>
      <c r="AD67" s="4">
        <f>IF('Tenure Split (WALES)'!$D$8="WG Estimates",'Income (SE Wales)'!E67,'Income (SE Wales)'!W67)</f>
        <v>46605.647337767645</v>
      </c>
      <c r="AE67" s="4">
        <f>IF('Tenure Split (WALES)'!$D$8="WG Estimates",'Income (SE Wales)'!F67,'Income (SE Wales)'!X67)</f>
        <v>48294.930245065822</v>
      </c>
      <c r="AF67" s="4">
        <f>IF('Tenure Split (WALES)'!$D$8="WG Estimates",'Income (SE Wales)'!G67,'Income (SE Wales)'!Y67)</f>
        <v>50251.730366310025</v>
      </c>
      <c r="AG67" s="4">
        <f>IF('Tenure Split (WALES)'!$D$8="WG Estimates",'Income (SE Wales)'!H67,'Income (SE Wales)'!Z67)</f>
        <v>52336.311058958439</v>
      </c>
    </row>
    <row r="68" spans="2:33" x14ac:dyDescent="0.25">
      <c r="B68" s="20">
        <v>74</v>
      </c>
      <c r="C68" s="59">
        <v>44696.5</v>
      </c>
      <c r="D68" s="59">
        <f>C68*(1+'Tenure Split (SE Wales)'!C$109)+(C$44*(-(50-$B68)*('Tenure Split (SE Wales)'!C$110/40)))</f>
        <v>46435.423089988806</v>
      </c>
      <c r="E68" s="59">
        <f>D68*(1+'Tenure Split (SE Wales)'!D$109)+(D$44*(-(50-$B68)*('Tenure Split (SE Wales)'!D$110/40)))</f>
        <v>47792.590344004893</v>
      </c>
      <c r="F68" s="59">
        <f>E68*(1+'Tenure Split (SE Wales)'!E$109)+(E$44*(-(50-$B68)*('Tenure Split (SE Wales)'!E$110/40)))</f>
        <v>49527.785831201189</v>
      </c>
      <c r="G68" s="59">
        <f>F68*(1+'Tenure Split (SE Wales)'!F$109)+(F$44*(-(50-$B68)*('Tenure Split (SE Wales)'!F$110/40)))</f>
        <v>51537.513603321233</v>
      </c>
      <c r="H68" s="60">
        <f>G68*(1+'Tenure Split (SE Wales)'!G$109)+(G$44*(-(50-$B68)*('Tenure Split (SE Wales)'!G$110/40)))</f>
        <v>53678.507460960187</v>
      </c>
      <c r="L68" s="64" t="str">
        <f t="shared" ref="L68:L84" si="4">IF(ISBLANK($K$4),"",B68)</f>
        <v/>
      </c>
      <c r="M68" s="251"/>
      <c r="N68" s="14">
        <f t="shared" si="3"/>
        <v>1</v>
      </c>
      <c r="T68" s="1">
        <f t="shared" ref="T68:T84" si="5">B68</f>
        <v>74</v>
      </c>
      <c r="U68" s="4" t="str">
        <f t="shared" ref="U68:U84" si="6">IF($M$3=$U$3,M68,"")</f>
        <v/>
      </c>
      <c r="V68" s="59" t="e">
        <f>IF($K$4=$V$3,M68,U68*(1+'Tenure Split (SE Wales)'!C$109)+(U$44*(-(50-$B68)*('Tenure Split (SE Wales)'!C$110/40))))</f>
        <v>#VALUE!</v>
      </c>
      <c r="W68" s="59" t="e">
        <f>V68*(1+'Tenure Split (SE Wales)'!D$109)+(V$44*(-(50-$B68)*('Tenure Split (SE Wales)'!D$110/40)))</f>
        <v>#VALUE!</v>
      </c>
      <c r="X68" s="59" t="e">
        <f>W68*(1+'Tenure Split (SE Wales)'!E$109)+(W$44*(-(50-$B68)*('Tenure Split (SE Wales)'!E$110/40)))</f>
        <v>#VALUE!</v>
      </c>
      <c r="Y68" s="59" t="e">
        <f>X68*(1+'Tenure Split (SE Wales)'!F$109)+(X$44*(-(50-$B68)*('Tenure Split (SE Wales)'!F$110/40)))</f>
        <v>#VALUE!</v>
      </c>
      <c r="Z68" s="59" t="e">
        <f>Y68*(1+'Tenure Split (SE Wales)'!G$109)+(Y$44*(-(50-$B68)*('Tenure Split (SE Wales)'!G$110/40)))</f>
        <v>#VALUE!</v>
      </c>
      <c r="AB68" s="1">
        <v>74</v>
      </c>
      <c r="AC68" s="4">
        <f>IF('Tenure Split (WALES)'!$D$8="WG Estimates",'Income (SE Wales)'!D68,'Income (SE Wales)'!V68)</f>
        <v>46435.423089988806</v>
      </c>
      <c r="AD68" s="4">
        <f>IF('Tenure Split (WALES)'!$D$8="WG Estimates",'Income (SE Wales)'!E68,'Income (SE Wales)'!W68)</f>
        <v>47792.590344004893</v>
      </c>
      <c r="AE68" s="4">
        <f>IF('Tenure Split (WALES)'!$D$8="WG Estimates",'Income (SE Wales)'!F68,'Income (SE Wales)'!X68)</f>
        <v>49527.785831201189</v>
      </c>
      <c r="AF68" s="4">
        <f>IF('Tenure Split (WALES)'!$D$8="WG Estimates",'Income (SE Wales)'!G68,'Income (SE Wales)'!Y68)</f>
        <v>51537.513603321233</v>
      </c>
      <c r="AG68" s="4">
        <f>IF('Tenure Split (WALES)'!$D$8="WG Estimates",'Income (SE Wales)'!H68,'Income (SE Wales)'!Z68)</f>
        <v>53678.507460960187</v>
      </c>
    </row>
    <row r="69" spans="2:33" x14ac:dyDescent="0.25">
      <c r="B69" s="20">
        <v>75</v>
      </c>
      <c r="C69" s="59">
        <v>45619</v>
      </c>
      <c r="D69" s="59">
        <f>C69*(1+'Tenure Split (SE Wales)'!C$109)+(C$44*(-(50-$B69)*('Tenure Split (SE Wales)'!C$110/40)))</f>
        <v>47397.128657039684</v>
      </c>
      <c r="E69" s="59">
        <f>D69*(1+'Tenure Split (SE Wales)'!D$109)+(D$44*(-(50-$B69)*('Tenure Split (SE Wales)'!D$110/40)))</f>
        <v>48785.82488742852</v>
      </c>
      <c r="F69" s="59">
        <f>E69*(1+'Tenure Split (SE Wales)'!E$109)+(E$44*(-(50-$B69)*('Tenure Split (SE Wales)'!E$110/40)))</f>
        <v>50560.57873357983</v>
      </c>
      <c r="G69" s="59">
        <f>F69*(1+'Tenure Split (SE Wales)'!F$109)+(F$44*(-(50-$B69)*('Tenure Split (SE Wales)'!F$110/40)))</f>
        <v>52615.814661382909</v>
      </c>
      <c r="H69" s="60">
        <f>G69*(1+'Tenure Split (SE Wales)'!G$109)+(G$44*(-(50-$B69)*('Tenure Split (SE Wales)'!G$110/40)))</f>
        <v>54805.324451035114</v>
      </c>
      <c r="L69" s="64" t="str">
        <f t="shared" si="4"/>
        <v/>
      </c>
      <c r="M69" s="251"/>
      <c r="N69" s="14">
        <f t="shared" ref="N69:N84" si="7">IF(ISBLANK(M69),1,0)</f>
        <v>1</v>
      </c>
      <c r="T69" s="1">
        <f t="shared" si="5"/>
        <v>75</v>
      </c>
      <c r="U69" s="4" t="str">
        <f t="shared" si="6"/>
        <v/>
      </c>
      <c r="V69" s="59" t="e">
        <f>IF($K$4=$V$3,M69,U69*(1+'Tenure Split (SE Wales)'!C$109)+(U$44*(-(50-$B69)*('Tenure Split (SE Wales)'!C$110/40))))</f>
        <v>#VALUE!</v>
      </c>
      <c r="W69" s="59" t="e">
        <f>V69*(1+'Tenure Split (SE Wales)'!D$109)+(V$44*(-(50-$B69)*('Tenure Split (SE Wales)'!D$110/40)))</f>
        <v>#VALUE!</v>
      </c>
      <c r="X69" s="59" t="e">
        <f>W69*(1+'Tenure Split (SE Wales)'!E$109)+(W$44*(-(50-$B69)*('Tenure Split (SE Wales)'!E$110/40)))</f>
        <v>#VALUE!</v>
      </c>
      <c r="Y69" s="59" t="e">
        <f>X69*(1+'Tenure Split (SE Wales)'!F$109)+(X$44*(-(50-$B69)*('Tenure Split (SE Wales)'!F$110/40)))</f>
        <v>#VALUE!</v>
      </c>
      <c r="Z69" s="59" t="e">
        <f>Y69*(1+'Tenure Split (SE Wales)'!G$109)+(Y$44*(-(50-$B69)*('Tenure Split (SE Wales)'!G$110/40)))</f>
        <v>#VALUE!</v>
      </c>
      <c r="AB69" s="1">
        <v>75</v>
      </c>
      <c r="AC69" s="4">
        <f>IF('Tenure Split (WALES)'!$D$8="WG Estimates",'Income (SE Wales)'!D69,'Income (SE Wales)'!V69)</f>
        <v>47397.128657039684</v>
      </c>
      <c r="AD69" s="4">
        <f>IF('Tenure Split (WALES)'!$D$8="WG Estimates",'Income (SE Wales)'!E69,'Income (SE Wales)'!W69)</f>
        <v>48785.82488742852</v>
      </c>
      <c r="AE69" s="4">
        <f>IF('Tenure Split (WALES)'!$D$8="WG Estimates",'Income (SE Wales)'!F69,'Income (SE Wales)'!X69)</f>
        <v>50560.57873357983</v>
      </c>
      <c r="AF69" s="4">
        <f>IF('Tenure Split (WALES)'!$D$8="WG Estimates",'Income (SE Wales)'!G69,'Income (SE Wales)'!Y69)</f>
        <v>52615.814661382909</v>
      </c>
      <c r="AG69" s="4">
        <f>IF('Tenure Split (WALES)'!$D$8="WG Estimates",'Income (SE Wales)'!H69,'Income (SE Wales)'!Z69)</f>
        <v>54805.324451035114</v>
      </c>
    </row>
    <row r="70" spans="2:33" x14ac:dyDescent="0.25">
      <c r="B70" s="20">
        <v>76</v>
      </c>
      <c r="C70" s="59">
        <v>46700.4</v>
      </c>
      <c r="D70" s="59">
        <f>C70*(1+'Tenure Split (SE Wales)'!C$109)+(C$44*(-(50-$B70)*('Tenure Split (SE Wales)'!C$110/40)))</f>
        <v>48523.35568701673</v>
      </c>
      <c r="E70" s="59">
        <f>D70*(1+'Tenure Split (SE Wales)'!D$109)+(D$44*(-(50-$B70)*('Tenure Split (SE Wales)'!D$110/40)))</f>
        <v>49947.810937108086</v>
      </c>
      <c r="F70" s="59">
        <f>E70*(1+'Tenure Split (SE Wales)'!E$109)+(E$44*(-(50-$B70)*('Tenure Split (SE Wales)'!E$110/40)))</f>
        <v>51767.658699823281</v>
      </c>
      <c r="G70" s="59">
        <f>F70*(1+'Tenure Split (SE Wales)'!F$109)+(F$44*(-(50-$B70)*('Tenure Split (SE Wales)'!F$110/40)))</f>
        <v>53874.866367663213</v>
      </c>
      <c r="H70" s="60">
        <f>G70*(1+'Tenure Split (SE Wales)'!G$109)+(G$44*(-(50-$B70)*('Tenure Split (SE Wales)'!G$110/40)))</f>
        <v>56119.771860820409</v>
      </c>
      <c r="L70" s="64" t="str">
        <f t="shared" si="4"/>
        <v/>
      </c>
      <c r="M70" s="251"/>
      <c r="N70" s="14">
        <f t="shared" si="7"/>
        <v>1</v>
      </c>
      <c r="T70" s="1">
        <f t="shared" si="5"/>
        <v>76</v>
      </c>
      <c r="U70" s="4" t="str">
        <f t="shared" si="6"/>
        <v/>
      </c>
      <c r="V70" s="59" t="e">
        <f>IF($K$4=$V$3,M70,U70*(1+'Tenure Split (SE Wales)'!C$109)+(U$44*(-(50-$B70)*('Tenure Split (SE Wales)'!C$110/40))))</f>
        <v>#VALUE!</v>
      </c>
      <c r="W70" s="59" t="e">
        <f>V70*(1+'Tenure Split (SE Wales)'!D$109)+(V$44*(-(50-$B70)*('Tenure Split (SE Wales)'!D$110/40)))</f>
        <v>#VALUE!</v>
      </c>
      <c r="X70" s="59" t="e">
        <f>W70*(1+'Tenure Split (SE Wales)'!E$109)+(W$44*(-(50-$B70)*('Tenure Split (SE Wales)'!E$110/40)))</f>
        <v>#VALUE!</v>
      </c>
      <c r="Y70" s="59" t="e">
        <f>X70*(1+'Tenure Split (SE Wales)'!F$109)+(X$44*(-(50-$B70)*('Tenure Split (SE Wales)'!F$110/40)))</f>
        <v>#VALUE!</v>
      </c>
      <c r="Z70" s="59" t="e">
        <f>Y70*(1+'Tenure Split (SE Wales)'!G$109)+(Y$44*(-(50-$B70)*('Tenure Split (SE Wales)'!G$110/40)))</f>
        <v>#VALUE!</v>
      </c>
      <c r="AB70" s="1">
        <v>76</v>
      </c>
      <c r="AC70" s="4">
        <f>IF('Tenure Split (WALES)'!$D$8="WG Estimates",'Income (SE Wales)'!D70,'Income (SE Wales)'!V70)</f>
        <v>48523.35568701673</v>
      </c>
      <c r="AD70" s="4">
        <f>IF('Tenure Split (WALES)'!$D$8="WG Estimates",'Income (SE Wales)'!E70,'Income (SE Wales)'!W70)</f>
        <v>49947.810937108086</v>
      </c>
      <c r="AE70" s="4">
        <f>IF('Tenure Split (WALES)'!$D$8="WG Estimates",'Income (SE Wales)'!F70,'Income (SE Wales)'!X70)</f>
        <v>51767.658699823281</v>
      </c>
      <c r="AF70" s="4">
        <f>IF('Tenure Split (WALES)'!$D$8="WG Estimates",'Income (SE Wales)'!G70,'Income (SE Wales)'!Y70)</f>
        <v>53874.866367663213</v>
      </c>
      <c r="AG70" s="4">
        <f>IF('Tenure Split (WALES)'!$D$8="WG Estimates",'Income (SE Wales)'!H70,'Income (SE Wales)'!Z70)</f>
        <v>56119.771860820409</v>
      </c>
    </row>
    <row r="71" spans="2:33" x14ac:dyDescent="0.25">
      <c r="B71" s="20">
        <v>77</v>
      </c>
      <c r="C71" s="59">
        <v>48015.199999999997</v>
      </c>
      <c r="D71" s="59">
        <f>C71*(1+'Tenure Split (SE Wales)'!C$109)+(C$44*(-(50-$B71)*('Tenure Split (SE Wales)'!C$110/40)))</f>
        <v>49891.23979343786</v>
      </c>
      <c r="E71" s="59">
        <f>D71*(1+'Tenure Split (SE Wales)'!D$109)+(D$44*(-(50-$B71)*('Tenure Split (SE Wales)'!D$110/40)))</f>
        <v>51357.66735532217</v>
      </c>
      <c r="F71" s="59">
        <f>E71*(1+'Tenure Split (SE Wales)'!E$109)+(E$44*(-(50-$B71)*('Tenure Split (SE Wales)'!E$110/40)))</f>
        <v>53230.739929163319</v>
      </c>
      <c r="G71" s="59">
        <f>F71*(1+'Tenure Split (SE Wales)'!F$109)+(F$44*(-(50-$B71)*('Tenure Split (SE Wales)'!F$110/40)))</f>
        <v>55399.413362138803</v>
      </c>
      <c r="H71" s="60">
        <f>G71*(1+'Tenure Split (SE Wales)'!G$109)+(G$44*(-(50-$B71)*('Tenure Split (SE Wales)'!G$110/40)))</f>
        <v>57709.819899683091</v>
      </c>
      <c r="L71" s="64" t="str">
        <f t="shared" si="4"/>
        <v/>
      </c>
      <c r="M71" s="251"/>
      <c r="N71" s="14">
        <f t="shared" si="7"/>
        <v>1</v>
      </c>
      <c r="T71" s="1">
        <f t="shared" si="5"/>
        <v>77</v>
      </c>
      <c r="U71" s="4" t="str">
        <f t="shared" si="6"/>
        <v/>
      </c>
      <c r="V71" s="59" t="e">
        <f>IF($K$4=$V$3,M71,U71*(1+'Tenure Split (SE Wales)'!C$109)+(U$44*(-(50-$B71)*('Tenure Split (SE Wales)'!C$110/40))))</f>
        <v>#VALUE!</v>
      </c>
      <c r="W71" s="59" t="e">
        <f>V71*(1+'Tenure Split (SE Wales)'!D$109)+(V$44*(-(50-$B71)*('Tenure Split (SE Wales)'!D$110/40)))</f>
        <v>#VALUE!</v>
      </c>
      <c r="X71" s="59" t="e">
        <f>W71*(1+'Tenure Split (SE Wales)'!E$109)+(W$44*(-(50-$B71)*('Tenure Split (SE Wales)'!E$110/40)))</f>
        <v>#VALUE!</v>
      </c>
      <c r="Y71" s="59" t="e">
        <f>X71*(1+'Tenure Split (SE Wales)'!F$109)+(X$44*(-(50-$B71)*('Tenure Split (SE Wales)'!F$110/40)))</f>
        <v>#VALUE!</v>
      </c>
      <c r="Z71" s="59" t="e">
        <f>Y71*(1+'Tenure Split (SE Wales)'!G$109)+(Y$44*(-(50-$B71)*('Tenure Split (SE Wales)'!G$110/40)))</f>
        <v>#VALUE!</v>
      </c>
      <c r="AB71" s="1">
        <v>77</v>
      </c>
      <c r="AC71" s="4">
        <f>IF('Tenure Split (WALES)'!$D$8="WG Estimates",'Income (SE Wales)'!D71,'Income (SE Wales)'!V71)</f>
        <v>49891.23979343786</v>
      </c>
      <c r="AD71" s="4">
        <f>IF('Tenure Split (WALES)'!$D$8="WG Estimates",'Income (SE Wales)'!E71,'Income (SE Wales)'!W71)</f>
        <v>51357.66735532217</v>
      </c>
      <c r="AE71" s="4">
        <f>IF('Tenure Split (WALES)'!$D$8="WG Estimates",'Income (SE Wales)'!F71,'Income (SE Wales)'!X71)</f>
        <v>53230.739929163319</v>
      </c>
      <c r="AF71" s="4">
        <f>IF('Tenure Split (WALES)'!$D$8="WG Estimates",'Income (SE Wales)'!G71,'Income (SE Wales)'!Y71)</f>
        <v>55399.413362138803</v>
      </c>
      <c r="AG71" s="4">
        <f>IF('Tenure Split (WALES)'!$D$8="WG Estimates",'Income (SE Wales)'!H71,'Income (SE Wales)'!Z71)</f>
        <v>57709.819899683091</v>
      </c>
    </row>
    <row r="72" spans="2:33" x14ac:dyDescent="0.25">
      <c r="B72" s="20">
        <v>78</v>
      </c>
      <c r="C72" s="59">
        <v>49166</v>
      </c>
      <c r="D72" s="59">
        <f>C72*(1+'Tenure Split (SE Wales)'!C$109)+(C$44*(-(50-$B72)*('Tenure Split (SE Wales)'!C$110/40)))</f>
        <v>51089.322012383287</v>
      </c>
      <c r="E72" s="59">
        <f>D72*(1+'Tenure Split (SE Wales)'!D$109)+(D$44*(-(50-$B72)*('Tenure Split (SE Wales)'!D$110/40)))</f>
        <v>52593.356076708231</v>
      </c>
      <c r="F72" s="59">
        <f>E72*(1+'Tenure Split (SE Wales)'!E$109)+(E$44*(-(50-$B72)*('Tenure Split (SE Wales)'!E$110/40)))</f>
        <v>54513.940236704562</v>
      </c>
      <c r="G72" s="59">
        <f>F72*(1+'Tenure Split (SE Wales)'!F$109)+(F$44*(-(50-$B72)*('Tenure Split (SE Wales)'!F$110/40)))</f>
        <v>56737.40839747119</v>
      </c>
      <c r="H72" s="60">
        <f>G72*(1+'Tenure Split (SE Wales)'!G$109)+(G$44*(-(50-$B72)*('Tenure Split (SE Wales)'!G$110/40)))</f>
        <v>59106.215397120373</v>
      </c>
      <c r="L72" s="64" t="str">
        <f t="shared" si="4"/>
        <v/>
      </c>
      <c r="M72" s="251"/>
      <c r="N72" s="14">
        <f t="shared" si="7"/>
        <v>1</v>
      </c>
      <c r="T72" s="1">
        <f t="shared" si="5"/>
        <v>78</v>
      </c>
      <c r="U72" s="4" t="str">
        <f t="shared" si="6"/>
        <v/>
      </c>
      <c r="V72" s="59" t="e">
        <f>IF($K$4=$V$3,M72,U72*(1+'Tenure Split (SE Wales)'!C$109)+(U$44*(-(50-$B72)*('Tenure Split (SE Wales)'!C$110/40))))</f>
        <v>#VALUE!</v>
      </c>
      <c r="W72" s="59" t="e">
        <f>V72*(1+'Tenure Split (SE Wales)'!D$109)+(V$44*(-(50-$B72)*('Tenure Split (SE Wales)'!D$110/40)))</f>
        <v>#VALUE!</v>
      </c>
      <c r="X72" s="59" t="e">
        <f>W72*(1+'Tenure Split (SE Wales)'!E$109)+(W$44*(-(50-$B72)*('Tenure Split (SE Wales)'!E$110/40)))</f>
        <v>#VALUE!</v>
      </c>
      <c r="Y72" s="59" t="e">
        <f>X72*(1+'Tenure Split (SE Wales)'!F$109)+(X$44*(-(50-$B72)*('Tenure Split (SE Wales)'!F$110/40)))</f>
        <v>#VALUE!</v>
      </c>
      <c r="Z72" s="59" t="e">
        <f>Y72*(1+'Tenure Split (SE Wales)'!G$109)+(Y$44*(-(50-$B72)*('Tenure Split (SE Wales)'!G$110/40)))</f>
        <v>#VALUE!</v>
      </c>
      <c r="AB72" s="1">
        <v>78</v>
      </c>
      <c r="AC72" s="4">
        <f>IF('Tenure Split (WALES)'!$D$8="WG Estimates",'Income (SE Wales)'!D72,'Income (SE Wales)'!V72)</f>
        <v>51089.322012383287</v>
      </c>
      <c r="AD72" s="4">
        <f>IF('Tenure Split (WALES)'!$D$8="WG Estimates",'Income (SE Wales)'!E72,'Income (SE Wales)'!W72)</f>
        <v>52593.356076708231</v>
      </c>
      <c r="AE72" s="4">
        <f>IF('Tenure Split (WALES)'!$D$8="WG Estimates",'Income (SE Wales)'!F72,'Income (SE Wales)'!X72)</f>
        <v>54513.940236704562</v>
      </c>
      <c r="AF72" s="4">
        <f>IF('Tenure Split (WALES)'!$D$8="WG Estimates",'Income (SE Wales)'!G72,'Income (SE Wales)'!Y72)</f>
        <v>56737.40839747119</v>
      </c>
      <c r="AG72" s="4">
        <f>IF('Tenure Split (WALES)'!$D$8="WG Estimates",'Income (SE Wales)'!H72,'Income (SE Wales)'!Z72)</f>
        <v>59106.215397120373</v>
      </c>
    </row>
    <row r="73" spans="2:33" x14ac:dyDescent="0.25">
      <c r="B73" s="20">
        <v>79</v>
      </c>
      <c r="C73" s="59">
        <v>50132.5</v>
      </c>
      <c r="D73" s="59">
        <f>C73*(1+'Tenure Split (SE Wales)'!C$109)+(C$44*(-(50-$B73)*('Tenure Split (SE Wales)'!C$110/40)))</f>
        <v>52096.584183391067</v>
      </c>
      <c r="E73" s="59">
        <f>D73*(1+'Tenure Split (SE Wales)'!D$109)+(D$44*(-(50-$B73)*('Tenure Split (SE Wales)'!D$110/40)))</f>
        <v>53633.318538793043</v>
      </c>
      <c r="F73" s="59">
        <f>E73*(1+'Tenure Split (SE Wales)'!E$109)+(E$44*(-(50-$B73)*('Tenure Split (SE Wales)'!E$110/40)))</f>
        <v>55594.993874199958</v>
      </c>
      <c r="G73" s="59">
        <f>F73*(1+'Tenure Split (SE Wales)'!F$109)+(F$44*(-(50-$B73)*('Tenure Split (SE Wales)'!F$110/40)))</f>
        <v>57865.759981156654</v>
      </c>
      <c r="H73" s="60">
        <f>G73*(1+'Tenure Split (SE Wales)'!G$109)+(G$44*(-(50-$B73)*('Tenure Split (SE Wales)'!G$110/40)))</f>
        <v>60284.987947089925</v>
      </c>
      <c r="L73" s="64" t="str">
        <f t="shared" si="4"/>
        <v/>
      </c>
      <c r="M73" s="251"/>
      <c r="N73" s="14">
        <f t="shared" si="7"/>
        <v>1</v>
      </c>
      <c r="T73" s="1">
        <f t="shared" si="5"/>
        <v>79</v>
      </c>
      <c r="U73" s="4" t="str">
        <f t="shared" si="6"/>
        <v/>
      </c>
      <c r="V73" s="59" t="e">
        <f>IF($K$4=$V$3,M73,U73*(1+'Tenure Split (SE Wales)'!C$109)+(U$44*(-(50-$B73)*('Tenure Split (SE Wales)'!C$110/40))))</f>
        <v>#VALUE!</v>
      </c>
      <c r="W73" s="59" t="e">
        <f>V73*(1+'Tenure Split (SE Wales)'!D$109)+(V$44*(-(50-$B73)*('Tenure Split (SE Wales)'!D$110/40)))</f>
        <v>#VALUE!</v>
      </c>
      <c r="X73" s="59" t="e">
        <f>W73*(1+'Tenure Split (SE Wales)'!E$109)+(W$44*(-(50-$B73)*('Tenure Split (SE Wales)'!E$110/40)))</f>
        <v>#VALUE!</v>
      </c>
      <c r="Y73" s="59" t="e">
        <f>X73*(1+'Tenure Split (SE Wales)'!F$109)+(X$44*(-(50-$B73)*('Tenure Split (SE Wales)'!F$110/40)))</f>
        <v>#VALUE!</v>
      </c>
      <c r="Z73" s="59" t="e">
        <f>Y73*(1+'Tenure Split (SE Wales)'!G$109)+(Y$44*(-(50-$B73)*('Tenure Split (SE Wales)'!G$110/40)))</f>
        <v>#VALUE!</v>
      </c>
      <c r="AB73" s="1">
        <v>79</v>
      </c>
      <c r="AC73" s="4">
        <f>IF('Tenure Split (WALES)'!$D$8="WG Estimates",'Income (SE Wales)'!D73,'Income (SE Wales)'!V73)</f>
        <v>52096.584183391067</v>
      </c>
      <c r="AD73" s="4">
        <f>IF('Tenure Split (WALES)'!$D$8="WG Estimates",'Income (SE Wales)'!E73,'Income (SE Wales)'!W73)</f>
        <v>53633.318538793043</v>
      </c>
      <c r="AE73" s="4">
        <f>IF('Tenure Split (WALES)'!$D$8="WG Estimates",'Income (SE Wales)'!F73,'Income (SE Wales)'!X73)</f>
        <v>55594.993874199958</v>
      </c>
      <c r="AF73" s="4">
        <f>IF('Tenure Split (WALES)'!$D$8="WG Estimates",'Income (SE Wales)'!G73,'Income (SE Wales)'!Y73)</f>
        <v>57865.759981156654</v>
      </c>
      <c r="AG73" s="4">
        <f>IF('Tenure Split (WALES)'!$D$8="WG Estimates",'Income (SE Wales)'!H73,'Income (SE Wales)'!Z73)</f>
        <v>60284.987947089925</v>
      </c>
    </row>
    <row r="74" spans="2:33" x14ac:dyDescent="0.25">
      <c r="B74" s="20">
        <v>80</v>
      </c>
      <c r="C74" s="59">
        <v>51214</v>
      </c>
      <c r="D74" s="59">
        <f>C74*(1+'Tenure Split (SE Wales)'!C$109)+(C$44*(-(50-$B74)*('Tenure Split (SE Wales)'!C$110/40)))</f>
        <v>53222.91475110437</v>
      </c>
      <c r="E74" s="59">
        <f>D74*(1+'Tenure Split (SE Wales)'!D$109)+(D$44*(-(50-$B74)*('Tenure Split (SE Wales)'!D$110/40)))</f>
        <v>54795.410788287729</v>
      </c>
      <c r="F74" s="59">
        <f>E74*(1+'Tenure Split (SE Wales)'!E$109)+(E$44*(-(50-$B74)*('Tenure Split (SE Wales)'!E$110/40)))</f>
        <v>56802.18352393229</v>
      </c>
      <c r="G74" s="59">
        <f>F74*(1+'Tenure Split (SE Wales)'!F$109)+(F$44*(-(50-$B74)*('Tenure Split (SE Wales)'!F$110/40)))</f>
        <v>59124.925438631544</v>
      </c>
      <c r="H74" s="60">
        <f>G74*(1+'Tenure Split (SE Wales)'!G$109)+(G$44*(-(50-$B74)*('Tenure Split (SE Wales)'!G$110/40)))</f>
        <v>61599.553437693139</v>
      </c>
      <c r="L74" s="64" t="str">
        <f t="shared" si="4"/>
        <v/>
      </c>
      <c r="M74" s="251"/>
      <c r="N74" s="14">
        <f t="shared" si="7"/>
        <v>1</v>
      </c>
      <c r="T74" s="1">
        <f t="shared" si="5"/>
        <v>80</v>
      </c>
      <c r="U74" s="4" t="str">
        <f t="shared" si="6"/>
        <v/>
      </c>
      <c r="V74" s="59" t="e">
        <f>IF($K$4=$V$3,M74,U74*(1+'Tenure Split (SE Wales)'!C$109)+(U$44*(-(50-$B74)*('Tenure Split (SE Wales)'!C$110/40))))</f>
        <v>#VALUE!</v>
      </c>
      <c r="W74" s="59" t="e">
        <f>V74*(1+'Tenure Split (SE Wales)'!D$109)+(V$44*(-(50-$B74)*('Tenure Split (SE Wales)'!D$110/40)))</f>
        <v>#VALUE!</v>
      </c>
      <c r="X74" s="59" t="e">
        <f>W74*(1+'Tenure Split (SE Wales)'!E$109)+(W$44*(-(50-$B74)*('Tenure Split (SE Wales)'!E$110/40)))</f>
        <v>#VALUE!</v>
      </c>
      <c r="Y74" s="59" t="e">
        <f>X74*(1+'Tenure Split (SE Wales)'!F$109)+(X$44*(-(50-$B74)*('Tenure Split (SE Wales)'!F$110/40)))</f>
        <v>#VALUE!</v>
      </c>
      <c r="Z74" s="59" t="e">
        <f>Y74*(1+'Tenure Split (SE Wales)'!G$109)+(Y$44*(-(50-$B74)*('Tenure Split (SE Wales)'!G$110/40)))</f>
        <v>#VALUE!</v>
      </c>
      <c r="AB74" s="1">
        <v>80</v>
      </c>
      <c r="AC74" s="4">
        <f>IF('Tenure Split (WALES)'!$D$8="WG Estimates",'Income (SE Wales)'!D74,'Income (SE Wales)'!V74)</f>
        <v>53222.91475110437</v>
      </c>
      <c r="AD74" s="4">
        <f>IF('Tenure Split (WALES)'!$D$8="WG Estimates",'Income (SE Wales)'!E74,'Income (SE Wales)'!W74)</f>
        <v>54795.410788287729</v>
      </c>
      <c r="AE74" s="4">
        <f>IF('Tenure Split (WALES)'!$D$8="WG Estimates",'Income (SE Wales)'!F74,'Income (SE Wales)'!X74)</f>
        <v>56802.18352393229</v>
      </c>
      <c r="AF74" s="4">
        <f>IF('Tenure Split (WALES)'!$D$8="WG Estimates",'Income (SE Wales)'!G74,'Income (SE Wales)'!Y74)</f>
        <v>59124.925438631544</v>
      </c>
      <c r="AG74" s="4">
        <f>IF('Tenure Split (WALES)'!$D$8="WG Estimates",'Income (SE Wales)'!H74,'Income (SE Wales)'!Z74)</f>
        <v>61599.553437693139</v>
      </c>
    </row>
    <row r="75" spans="2:33" x14ac:dyDescent="0.25">
      <c r="B75" s="20">
        <v>81</v>
      </c>
      <c r="C75" s="59">
        <v>52523.83</v>
      </c>
      <c r="D75" s="59">
        <f>C75*(1+'Tenure Split (SE Wales)'!C$109)+(C$44*(-(50-$B75)*('Tenure Split (SE Wales)'!C$110/40)))</f>
        <v>54585.6530320331</v>
      </c>
      <c r="E75" s="59">
        <f>D75*(1+'Tenure Split (SE Wales)'!D$109)+(D$44*(-(50-$B75)*('Tenure Split (SE Wales)'!D$110/40)))</f>
        <v>56199.989075689409</v>
      </c>
      <c r="F75" s="59">
        <f>E75*(1+'Tenure Split (SE Wales)'!E$109)+(E$44*(-(50-$B75)*('Tenure Split (SE Wales)'!E$110/40)))</f>
        <v>58259.813483873928</v>
      </c>
      <c r="G75" s="59">
        <f>F75*(1+'Tenure Split (SE Wales)'!F$109)+(F$44*(-(50-$B75)*('Tenure Split (SE Wales)'!F$110/40)))</f>
        <v>60643.818998735551</v>
      </c>
      <c r="H75" s="60">
        <f>G75*(1+'Tenure Split (SE Wales)'!G$109)+(G$44*(-(50-$B75)*('Tenure Split (SE Wales)'!G$110/40)))</f>
        <v>63183.732859904099</v>
      </c>
      <c r="L75" s="64" t="str">
        <f t="shared" si="4"/>
        <v/>
      </c>
      <c r="M75" s="251"/>
      <c r="N75" s="14">
        <f t="shared" si="7"/>
        <v>1</v>
      </c>
      <c r="T75" s="1">
        <f t="shared" si="5"/>
        <v>81</v>
      </c>
      <c r="U75" s="4" t="str">
        <f t="shared" si="6"/>
        <v/>
      </c>
      <c r="V75" s="59" t="e">
        <f>IF($K$4=$V$3,M75,U75*(1+'Tenure Split (SE Wales)'!C$109)+(U$44*(-(50-$B75)*('Tenure Split (SE Wales)'!C$110/40))))</f>
        <v>#VALUE!</v>
      </c>
      <c r="W75" s="59" t="e">
        <f>V75*(1+'Tenure Split (SE Wales)'!D$109)+(V$44*(-(50-$B75)*('Tenure Split (SE Wales)'!D$110/40)))</f>
        <v>#VALUE!</v>
      </c>
      <c r="X75" s="59" t="e">
        <f>W75*(1+'Tenure Split (SE Wales)'!E$109)+(W$44*(-(50-$B75)*('Tenure Split (SE Wales)'!E$110/40)))</f>
        <v>#VALUE!</v>
      </c>
      <c r="Y75" s="59" t="e">
        <f>X75*(1+'Tenure Split (SE Wales)'!F$109)+(X$44*(-(50-$B75)*('Tenure Split (SE Wales)'!F$110/40)))</f>
        <v>#VALUE!</v>
      </c>
      <c r="Z75" s="59" t="e">
        <f>Y75*(1+'Tenure Split (SE Wales)'!G$109)+(Y$44*(-(50-$B75)*('Tenure Split (SE Wales)'!G$110/40)))</f>
        <v>#VALUE!</v>
      </c>
      <c r="AB75" s="1">
        <v>81</v>
      </c>
      <c r="AC75" s="4">
        <f>IF('Tenure Split (WALES)'!$D$8="WG Estimates",'Income (SE Wales)'!D75,'Income (SE Wales)'!V75)</f>
        <v>54585.6530320331</v>
      </c>
      <c r="AD75" s="4">
        <f>IF('Tenure Split (WALES)'!$D$8="WG Estimates",'Income (SE Wales)'!E75,'Income (SE Wales)'!W75)</f>
        <v>56199.989075689409</v>
      </c>
      <c r="AE75" s="4">
        <f>IF('Tenure Split (WALES)'!$D$8="WG Estimates",'Income (SE Wales)'!F75,'Income (SE Wales)'!X75)</f>
        <v>58259.813483873928</v>
      </c>
      <c r="AF75" s="4">
        <f>IF('Tenure Split (WALES)'!$D$8="WG Estimates",'Income (SE Wales)'!G75,'Income (SE Wales)'!Y75)</f>
        <v>60643.818998735551</v>
      </c>
      <c r="AG75" s="4">
        <f>IF('Tenure Split (WALES)'!$D$8="WG Estimates",'Income (SE Wales)'!H75,'Income (SE Wales)'!Z75)</f>
        <v>63183.732859904099</v>
      </c>
    </row>
    <row r="76" spans="2:33" x14ac:dyDescent="0.25">
      <c r="B76" s="20">
        <v>82</v>
      </c>
      <c r="C76" s="59">
        <v>53960.7</v>
      </c>
      <c r="D76" s="59">
        <f>C76*(1+'Tenure Split (SE Wales)'!C$109)+(C$44*(-(50-$B76)*('Tenure Split (SE Wales)'!C$110/40)))</f>
        <v>56079.925653113751</v>
      </c>
      <c r="E76" s="59">
        <f>D76*(1+'Tenure Split (SE Wales)'!D$109)+(D$44*(-(50-$B76)*('Tenure Split (SE Wales)'!D$110/40)))</f>
        <v>57739.483608243725</v>
      </c>
      <c r="F76" s="59">
        <f>E76*(1+'Tenure Split (SE Wales)'!E$109)+(E$44*(-(50-$B76)*('Tenure Split (SE Wales)'!E$110/40)))</f>
        <v>59856.785348116282</v>
      </c>
      <c r="G76" s="59">
        <f>F76*(1+'Tenure Split (SE Wales)'!F$109)+(F$44*(-(50-$B76)*('Tenure Split (SE Wales)'!F$110/40)))</f>
        <v>62307.222076458776</v>
      </c>
      <c r="H76" s="60">
        <f>G76*(1+'Tenure Split (SE Wales)'!G$109)+(G$44*(-(50-$B76)*('Tenure Split (SE Wales)'!G$110/40)))</f>
        <v>64917.922153228988</v>
      </c>
      <c r="L76" s="64" t="str">
        <f t="shared" si="4"/>
        <v/>
      </c>
      <c r="M76" s="251"/>
      <c r="N76" s="14">
        <f t="shared" si="7"/>
        <v>1</v>
      </c>
      <c r="T76" s="1">
        <f t="shared" si="5"/>
        <v>82</v>
      </c>
      <c r="U76" s="4" t="str">
        <f t="shared" si="6"/>
        <v/>
      </c>
      <c r="V76" s="59" t="e">
        <f>IF($K$4=$V$3,M76,U76*(1+'Tenure Split (SE Wales)'!C$109)+(U$44*(-(50-$B76)*('Tenure Split (SE Wales)'!C$110/40))))</f>
        <v>#VALUE!</v>
      </c>
      <c r="W76" s="59" t="e">
        <f>V76*(1+'Tenure Split (SE Wales)'!D$109)+(V$44*(-(50-$B76)*('Tenure Split (SE Wales)'!D$110/40)))</f>
        <v>#VALUE!</v>
      </c>
      <c r="X76" s="59" t="e">
        <f>W76*(1+'Tenure Split (SE Wales)'!E$109)+(W$44*(-(50-$B76)*('Tenure Split (SE Wales)'!E$110/40)))</f>
        <v>#VALUE!</v>
      </c>
      <c r="Y76" s="59" t="e">
        <f>X76*(1+'Tenure Split (SE Wales)'!F$109)+(X$44*(-(50-$B76)*('Tenure Split (SE Wales)'!F$110/40)))</f>
        <v>#VALUE!</v>
      </c>
      <c r="Z76" s="59" t="e">
        <f>Y76*(1+'Tenure Split (SE Wales)'!G$109)+(Y$44*(-(50-$B76)*('Tenure Split (SE Wales)'!G$110/40)))</f>
        <v>#VALUE!</v>
      </c>
      <c r="AB76" s="1">
        <v>82</v>
      </c>
      <c r="AC76" s="4">
        <f>IF('Tenure Split (WALES)'!$D$8="WG Estimates",'Income (SE Wales)'!D76,'Income (SE Wales)'!V76)</f>
        <v>56079.925653113751</v>
      </c>
      <c r="AD76" s="4">
        <f>IF('Tenure Split (WALES)'!$D$8="WG Estimates",'Income (SE Wales)'!E76,'Income (SE Wales)'!W76)</f>
        <v>57739.483608243725</v>
      </c>
      <c r="AE76" s="4">
        <f>IF('Tenure Split (WALES)'!$D$8="WG Estimates",'Income (SE Wales)'!F76,'Income (SE Wales)'!X76)</f>
        <v>59856.785348116282</v>
      </c>
      <c r="AF76" s="4">
        <f>IF('Tenure Split (WALES)'!$D$8="WG Estimates",'Income (SE Wales)'!G76,'Income (SE Wales)'!Y76)</f>
        <v>62307.222076458776</v>
      </c>
      <c r="AG76" s="4">
        <f>IF('Tenure Split (WALES)'!$D$8="WG Estimates",'Income (SE Wales)'!H76,'Income (SE Wales)'!Z76)</f>
        <v>64917.922153228988</v>
      </c>
    </row>
    <row r="77" spans="2:33" x14ac:dyDescent="0.25">
      <c r="B77" s="20">
        <v>83</v>
      </c>
      <c r="C77" s="59">
        <v>55520.6</v>
      </c>
      <c r="D77" s="59">
        <f>C77*(1+'Tenure Split (SE Wales)'!C$109)+(C$44*(-(50-$B77)*('Tenure Split (SE Wales)'!C$110/40)))</f>
        <v>57701.580751122063</v>
      </c>
      <c r="E77" s="59">
        <f>D77*(1+'Tenure Split (SE Wales)'!D$109)+(D$44*(-(50-$B77)*('Tenure Split (SE Wales)'!D$110/40)))</f>
        <v>59409.635773363596</v>
      </c>
      <c r="F77" s="59">
        <f>E77*(1+'Tenure Split (SE Wales)'!E$109)+(E$44*(-(50-$B77)*('Tenure Split (SE Wales)'!E$110/40)))</f>
        <v>61588.700808754402</v>
      </c>
      <c r="G77" s="59">
        <f>F77*(1+'Tenure Split (SE Wales)'!F$109)+(F$44*(-(50-$B77)*('Tenure Split (SE Wales)'!F$110/40)))</f>
        <v>64110.573248897788</v>
      </c>
      <c r="H77" s="60">
        <f>G77*(1+'Tenure Split (SE Wales)'!G$109)+(G$44*(-(50-$B77)*('Tenure Split (SE Wales)'!G$110/40)))</f>
        <v>66797.386276868318</v>
      </c>
      <c r="L77" s="64" t="str">
        <f t="shared" si="4"/>
        <v/>
      </c>
      <c r="M77" s="251"/>
      <c r="N77" s="14">
        <f t="shared" si="7"/>
        <v>1</v>
      </c>
      <c r="T77" s="1">
        <f t="shared" si="5"/>
        <v>83</v>
      </c>
      <c r="U77" s="4" t="str">
        <f t="shared" si="6"/>
        <v/>
      </c>
      <c r="V77" s="59" t="e">
        <f>IF($K$4=$V$3,M77,U77*(1+'Tenure Split (SE Wales)'!C$109)+(U$44*(-(50-$B77)*('Tenure Split (SE Wales)'!C$110/40))))</f>
        <v>#VALUE!</v>
      </c>
      <c r="W77" s="59" t="e">
        <f>V77*(1+'Tenure Split (SE Wales)'!D$109)+(V$44*(-(50-$B77)*('Tenure Split (SE Wales)'!D$110/40)))</f>
        <v>#VALUE!</v>
      </c>
      <c r="X77" s="59" t="e">
        <f>W77*(1+'Tenure Split (SE Wales)'!E$109)+(W$44*(-(50-$B77)*('Tenure Split (SE Wales)'!E$110/40)))</f>
        <v>#VALUE!</v>
      </c>
      <c r="Y77" s="59" t="e">
        <f>X77*(1+'Tenure Split (SE Wales)'!F$109)+(X$44*(-(50-$B77)*('Tenure Split (SE Wales)'!F$110/40)))</f>
        <v>#VALUE!</v>
      </c>
      <c r="Z77" s="59" t="e">
        <f>Y77*(1+'Tenure Split (SE Wales)'!G$109)+(Y$44*(-(50-$B77)*('Tenure Split (SE Wales)'!G$110/40)))</f>
        <v>#VALUE!</v>
      </c>
      <c r="AB77" s="1">
        <v>83</v>
      </c>
      <c r="AC77" s="4">
        <f>IF('Tenure Split (WALES)'!$D$8="WG Estimates",'Income (SE Wales)'!D77,'Income (SE Wales)'!V77)</f>
        <v>57701.580751122063</v>
      </c>
      <c r="AD77" s="4">
        <f>IF('Tenure Split (WALES)'!$D$8="WG Estimates",'Income (SE Wales)'!E77,'Income (SE Wales)'!W77)</f>
        <v>59409.635773363596</v>
      </c>
      <c r="AE77" s="4">
        <f>IF('Tenure Split (WALES)'!$D$8="WG Estimates",'Income (SE Wales)'!F77,'Income (SE Wales)'!X77)</f>
        <v>61588.700808754402</v>
      </c>
      <c r="AF77" s="4">
        <f>IF('Tenure Split (WALES)'!$D$8="WG Estimates",'Income (SE Wales)'!G77,'Income (SE Wales)'!Y77)</f>
        <v>64110.573248897788</v>
      </c>
      <c r="AG77" s="4">
        <f>IF('Tenure Split (WALES)'!$D$8="WG Estimates",'Income (SE Wales)'!H77,'Income (SE Wales)'!Z77)</f>
        <v>66797.386276868318</v>
      </c>
    </row>
    <row r="78" spans="2:33" x14ac:dyDescent="0.25">
      <c r="B78" s="20">
        <v>84</v>
      </c>
      <c r="C78" s="59">
        <v>57058</v>
      </c>
      <c r="D78" s="59">
        <f>C78*(1+'Tenure Split (SE Wales)'!C$109)+(C$44*(-(50-$B78)*('Tenure Split (SE Wales)'!C$110/40)))</f>
        <v>59299.9398584706</v>
      </c>
      <c r="E78" s="59">
        <f>D78*(1+'Tenure Split (SE Wales)'!D$109)+(D$44*(-(50-$B78)*('Tenure Split (SE Wales)'!D$110/40)))</f>
        <v>61055.892980077195</v>
      </c>
      <c r="F78" s="59">
        <f>E78*(1+'Tenure Split (SE Wales)'!E$109)+(E$44*(-(50-$B78)*('Tenure Split (SE Wales)'!E$110/40)))</f>
        <v>63295.937484389658</v>
      </c>
      <c r="G78" s="59">
        <f>F78*(1+'Tenure Split (SE Wales)'!F$109)+(F$44*(-(50-$B78)*('Tenure Split (SE Wales)'!F$110/40)))</f>
        <v>65888.330402551932</v>
      </c>
      <c r="H78" s="60">
        <f>G78*(1+'Tenure Split (SE Wales)'!G$109)+(G$44*(-(50-$B78)*('Tenure Split (SE Wales)'!G$110/40)))</f>
        <v>68650.282216470659</v>
      </c>
      <c r="L78" s="64" t="str">
        <f t="shared" si="4"/>
        <v/>
      </c>
      <c r="M78" s="251"/>
      <c r="N78" s="14">
        <f t="shared" si="7"/>
        <v>1</v>
      </c>
      <c r="T78" s="1">
        <f t="shared" si="5"/>
        <v>84</v>
      </c>
      <c r="U78" s="4" t="str">
        <f t="shared" si="6"/>
        <v/>
      </c>
      <c r="V78" s="59" t="e">
        <f>IF($K$4=$V$3,M78,U78*(1+'Tenure Split (SE Wales)'!C$109)+(U$44*(-(50-$B78)*('Tenure Split (SE Wales)'!C$110/40))))</f>
        <v>#VALUE!</v>
      </c>
      <c r="W78" s="59" t="e">
        <f>V78*(1+'Tenure Split (SE Wales)'!D$109)+(V$44*(-(50-$B78)*('Tenure Split (SE Wales)'!D$110/40)))</f>
        <v>#VALUE!</v>
      </c>
      <c r="X78" s="59" t="e">
        <f>W78*(1+'Tenure Split (SE Wales)'!E$109)+(W$44*(-(50-$B78)*('Tenure Split (SE Wales)'!E$110/40)))</f>
        <v>#VALUE!</v>
      </c>
      <c r="Y78" s="59" t="e">
        <f>X78*(1+'Tenure Split (SE Wales)'!F$109)+(X$44*(-(50-$B78)*('Tenure Split (SE Wales)'!F$110/40)))</f>
        <v>#VALUE!</v>
      </c>
      <c r="Z78" s="59" t="e">
        <f>Y78*(1+'Tenure Split (SE Wales)'!G$109)+(Y$44*(-(50-$B78)*('Tenure Split (SE Wales)'!G$110/40)))</f>
        <v>#VALUE!</v>
      </c>
      <c r="AB78" s="1">
        <v>84</v>
      </c>
      <c r="AC78" s="4">
        <f>IF('Tenure Split (WALES)'!$D$8="WG Estimates",'Income (SE Wales)'!D78,'Income (SE Wales)'!V78)</f>
        <v>59299.9398584706</v>
      </c>
      <c r="AD78" s="4">
        <f>IF('Tenure Split (WALES)'!$D$8="WG Estimates",'Income (SE Wales)'!E78,'Income (SE Wales)'!W78)</f>
        <v>61055.892980077195</v>
      </c>
      <c r="AE78" s="4">
        <f>IF('Tenure Split (WALES)'!$D$8="WG Estimates",'Income (SE Wales)'!F78,'Income (SE Wales)'!X78)</f>
        <v>63295.937484389658</v>
      </c>
      <c r="AF78" s="4">
        <f>IF('Tenure Split (WALES)'!$D$8="WG Estimates",'Income (SE Wales)'!G78,'Income (SE Wales)'!Y78)</f>
        <v>65888.330402551932</v>
      </c>
      <c r="AG78" s="4">
        <f>IF('Tenure Split (WALES)'!$D$8="WG Estimates",'Income (SE Wales)'!H78,'Income (SE Wales)'!Z78)</f>
        <v>68650.282216470659</v>
      </c>
    </row>
    <row r="79" spans="2:33" x14ac:dyDescent="0.25">
      <c r="B79" s="20">
        <v>85</v>
      </c>
      <c r="C79" s="59">
        <v>59207.5</v>
      </c>
      <c r="D79" s="59">
        <f>C79*(1+'Tenure Split (SE Wales)'!C$109)+(C$44*(-(50-$B79)*('Tenure Split (SE Wales)'!C$110/40)))</f>
        <v>61532.053449501349</v>
      </c>
      <c r="E79" s="59">
        <f>D79*(1+'Tenure Split (SE Wales)'!D$109)+(D$44*(-(50-$B79)*('Tenure Split (SE Wales)'!D$110/40)))</f>
        <v>63352.199255256855</v>
      </c>
      <c r="F79" s="59">
        <f>E79*(1+'Tenure Split (SE Wales)'!E$109)+(E$44*(-(50-$B79)*('Tenure Split (SE Wales)'!E$110/40)))</f>
        <v>65674.54679559225</v>
      </c>
      <c r="G79" s="59">
        <f>F79*(1+'Tenure Split (SE Wales)'!F$109)+(F$44*(-(50-$B79)*('Tenure Split (SE Wales)'!F$110/40)))</f>
        <v>68362.358618349725</v>
      </c>
      <c r="H79" s="60">
        <f>G79*(1+'Tenure Split (SE Wales)'!G$109)+(G$44*(-(50-$B79)*('Tenure Split (SE Wales)'!G$110/40)))</f>
        <v>71225.950842697988</v>
      </c>
      <c r="L79" s="64" t="str">
        <f t="shared" si="4"/>
        <v/>
      </c>
      <c r="M79" s="251"/>
      <c r="N79" s="14">
        <f t="shared" si="7"/>
        <v>1</v>
      </c>
      <c r="T79" s="1">
        <f t="shared" si="5"/>
        <v>85</v>
      </c>
      <c r="U79" s="4" t="str">
        <f t="shared" si="6"/>
        <v/>
      </c>
      <c r="V79" s="59" t="e">
        <f>IF($K$4=$V$3,M79,U79*(1+'Tenure Split (SE Wales)'!C$109)+(U$44*(-(50-$B79)*('Tenure Split (SE Wales)'!C$110/40))))</f>
        <v>#VALUE!</v>
      </c>
      <c r="W79" s="59" t="e">
        <f>V79*(1+'Tenure Split (SE Wales)'!D$109)+(V$44*(-(50-$B79)*('Tenure Split (SE Wales)'!D$110/40)))</f>
        <v>#VALUE!</v>
      </c>
      <c r="X79" s="59" t="e">
        <f>W79*(1+'Tenure Split (SE Wales)'!E$109)+(W$44*(-(50-$B79)*('Tenure Split (SE Wales)'!E$110/40)))</f>
        <v>#VALUE!</v>
      </c>
      <c r="Y79" s="59" t="e">
        <f>X79*(1+'Tenure Split (SE Wales)'!F$109)+(X$44*(-(50-$B79)*('Tenure Split (SE Wales)'!F$110/40)))</f>
        <v>#VALUE!</v>
      </c>
      <c r="Z79" s="59" t="e">
        <f>Y79*(1+'Tenure Split (SE Wales)'!G$109)+(Y$44*(-(50-$B79)*('Tenure Split (SE Wales)'!G$110/40)))</f>
        <v>#VALUE!</v>
      </c>
      <c r="AB79" s="1">
        <v>85</v>
      </c>
      <c r="AC79" s="4">
        <f>IF('Tenure Split (WALES)'!$D$8="WG Estimates",'Income (SE Wales)'!D79,'Income (SE Wales)'!V79)</f>
        <v>61532.053449501349</v>
      </c>
      <c r="AD79" s="4">
        <f>IF('Tenure Split (WALES)'!$D$8="WG Estimates",'Income (SE Wales)'!E79,'Income (SE Wales)'!W79)</f>
        <v>63352.199255256855</v>
      </c>
      <c r="AE79" s="4">
        <f>IF('Tenure Split (WALES)'!$D$8="WG Estimates",'Income (SE Wales)'!F79,'Income (SE Wales)'!X79)</f>
        <v>65674.54679559225</v>
      </c>
      <c r="AF79" s="4">
        <f>IF('Tenure Split (WALES)'!$D$8="WG Estimates",'Income (SE Wales)'!G79,'Income (SE Wales)'!Y79)</f>
        <v>68362.358618349725</v>
      </c>
      <c r="AG79" s="4">
        <f>IF('Tenure Split (WALES)'!$D$8="WG Estimates",'Income (SE Wales)'!H79,'Income (SE Wales)'!Z79)</f>
        <v>71225.950842697988</v>
      </c>
    </row>
    <row r="80" spans="2:33" x14ac:dyDescent="0.25">
      <c r="B80" s="20">
        <v>86</v>
      </c>
      <c r="C80" s="59">
        <v>60364.25</v>
      </c>
      <c r="D80" s="59">
        <f>C80*(1+'Tenure Split (SE Wales)'!C$109)+(C$44*(-(50-$B80)*('Tenure Split (SE Wales)'!C$110/40)))</f>
        <v>62736.296163754581</v>
      </c>
      <c r="E80" s="59">
        <f>D80*(1+'Tenure Split (SE Wales)'!D$109)+(D$44*(-(50-$B80)*('Tenure Split (SE Wales)'!D$110/40)))</f>
        <v>64594.20686564369</v>
      </c>
      <c r="F80" s="59">
        <f>E80*(1+'Tenure Split (SE Wales)'!E$109)+(E$44*(-(50-$B80)*('Tenure Split (SE Wales)'!E$110/40)))</f>
        <v>66964.273270723148</v>
      </c>
      <c r="G80" s="59">
        <f>F80*(1+'Tenure Split (SE Wales)'!F$109)+(F$44*(-(50-$B80)*('Tenure Split (SE Wales)'!F$110/40)))</f>
        <v>69707.121849760777</v>
      </c>
      <c r="H80" s="60">
        <f>G80*(1+'Tenure Split (SE Wales)'!G$109)+(G$44*(-(50-$B80)*('Tenure Split (SE Wales)'!G$110/40)))</f>
        <v>72629.372148802824</v>
      </c>
      <c r="L80" s="64" t="str">
        <f t="shared" si="4"/>
        <v/>
      </c>
      <c r="M80" s="251"/>
      <c r="N80" s="14">
        <f t="shared" si="7"/>
        <v>1</v>
      </c>
      <c r="T80" s="1">
        <f t="shared" si="5"/>
        <v>86</v>
      </c>
      <c r="U80" s="4" t="str">
        <f t="shared" si="6"/>
        <v/>
      </c>
      <c r="V80" s="59" t="e">
        <f>IF($K$4=$V$3,M80,U80*(1+'Tenure Split (SE Wales)'!C$109)+(U$44*(-(50-$B80)*('Tenure Split (SE Wales)'!C$110/40))))</f>
        <v>#VALUE!</v>
      </c>
      <c r="W80" s="59" t="e">
        <f>V80*(1+'Tenure Split (SE Wales)'!D$109)+(V$44*(-(50-$B80)*('Tenure Split (SE Wales)'!D$110/40)))</f>
        <v>#VALUE!</v>
      </c>
      <c r="X80" s="59" t="e">
        <f>W80*(1+'Tenure Split (SE Wales)'!E$109)+(W$44*(-(50-$B80)*('Tenure Split (SE Wales)'!E$110/40)))</f>
        <v>#VALUE!</v>
      </c>
      <c r="Y80" s="59" t="e">
        <f>X80*(1+'Tenure Split (SE Wales)'!F$109)+(X$44*(-(50-$B80)*('Tenure Split (SE Wales)'!F$110/40)))</f>
        <v>#VALUE!</v>
      </c>
      <c r="Z80" s="59" t="e">
        <f>Y80*(1+'Tenure Split (SE Wales)'!G$109)+(Y$44*(-(50-$B80)*('Tenure Split (SE Wales)'!G$110/40)))</f>
        <v>#VALUE!</v>
      </c>
      <c r="AB80" s="1">
        <v>86</v>
      </c>
      <c r="AC80" s="4">
        <f>IF('Tenure Split (WALES)'!$D$8="WG Estimates",'Income (SE Wales)'!D80,'Income (SE Wales)'!V80)</f>
        <v>62736.296163754581</v>
      </c>
      <c r="AD80" s="4">
        <f>IF('Tenure Split (WALES)'!$D$8="WG Estimates",'Income (SE Wales)'!E80,'Income (SE Wales)'!W80)</f>
        <v>64594.20686564369</v>
      </c>
      <c r="AE80" s="4">
        <f>IF('Tenure Split (WALES)'!$D$8="WG Estimates",'Income (SE Wales)'!F80,'Income (SE Wales)'!X80)</f>
        <v>66964.273270723148</v>
      </c>
      <c r="AF80" s="4">
        <f>IF('Tenure Split (WALES)'!$D$8="WG Estimates",'Income (SE Wales)'!G80,'Income (SE Wales)'!Y80)</f>
        <v>69707.121849760777</v>
      </c>
      <c r="AG80" s="4">
        <f>IF('Tenure Split (WALES)'!$D$8="WG Estimates",'Income (SE Wales)'!H80,'Income (SE Wales)'!Z80)</f>
        <v>72629.372148802824</v>
      </c>
    </row>
    <row r="81" spans="2:33" x14ac:dyDescent="0.25">
      <c r="B81" s="20">
        <v>87</v>
      </c>
      <c r="C81" s="59">
        <v>62045</v>
      </c>
      <c r="D81" s="59">
        <f>C81*(1+'Tenure Split (SE Wales)'!C$109)+(C$44*(-(50-$B81)*('Tenure Split (SE Wales)'!C$110/40)))</f>
        <v>64483.076616039973</v>
      </c>
      <c r="E81" s="59">
        <f>D81*(1+'Tenure Split (SE Wales)'!D$109)+(D$44*(-(50-$B81)*('Tenure Split (SE Wales)'!D$110/40)))</f>
        <v>66392.701507359103</v>
      </c>
      <c r="F81" s="59">
        <f>E81*(1+'Tenure Split (SE Wales)'!E$109)+(E$44*(-(50-$B81)*('Tenure Split (SE Wales)'!E$110/40)))</f>
        <v>68828.741227698993</v>
      </c>
      <c r="G81" s="59">
        <f>F81*(1+'Tenure Split (SE Wales)'!F$109)+(F$44*(-(50-$B81)*('Tenure Split (SE Wales)'!F$110/40)))</f>
        <v>71647.941340873338</v>
      </c>
      <c r="H81" s="60">
        <f>G81*(1+'Tenure Split (SE Wales)'!G$109)+(G$44*(-(50-$B81)*('Tenure Split (SE Wales)'!G$110/40)))</f>
        <v>74651.536940925493</v>
      </c>
      <c r="L81" s="64" t="str">
        <f t="shared" si="4"/>
        <v/>
      </c>
      <c r="M81" s="251"/>
      <c r="N81" s="14">
        <f t="shared" si="7"/>
        <v>1</v>
      </c>
      <c r="T81" s="1">
        <f t="shared" si="5"/>
        <v>87</v>
      </c>
      <c r="U81" s="4" t="str">
        <f t="shared" si="6"/>
        <v/>
      </c>
      <c r="V81" s="59" t="e">
        <f>IF($K$4=$V$3,M81,U81*(1+'Tenure Split (SE Wales)'!C$109)+(U$44*(-(50-$B81)*('Tenure Split (SE Wales)'!C$110/40))))</f>
        <v>#VALUE!</v>
      </c>
      <c r="W81" s="59" t="e">
        <f>V81*(1+'Tenure Split (SE Wales)'!D$109)+(V$44*(-(50-$B81)*('Tenure Split (SE Wales)'!D$110/40)))</f>
        <v>#VALUE!</v>
      </c>
      <c r="X81" s="59" t="e">
        <f>W81*(1+'Tenure Split (SE Wales)'!E$109)+(W$44*(-(50-$B81)*('Tenure Split (SE Wales)'!E$110/40)))</f>
        <v>#VALUE!</v>
      </c>
      <c r="Y81" s="59" t="e">
        <f>X81*(1+'Tenure Split (SE Wales)'!F$109)+(X$44*(-(50-$B81)*('Tenure Split (SE Wales)'!F$110/40)))</f>
        <v>#VALUE!</v>
      </c>
      <c r="Z81" s="59" t="e">
        <f>Y81*(1+'Tenure Split (SE Wales)'!G$109)+(Y$44*(-(50-$B81)*('Tenure Split (SE Wales)'!G$110/40)))</f>
        <v>#VALUE!</v>
      </c>
      <c r="AB81" s="1">
        <v>87</v>
      </c>
      <c r="AC81" s="4">
        <f>IF('Tenure Split (WALES)'!$D$8="WG Estimates",'Income (SE Wales)'!D81,'Income (SE Wales)'!V81)</f>
        <v>64483.076616039973</v>
      </c>
      <c r="AD81" s="4">
        <f>IF('Tenure Split (WALES)'!$D$8="WG Estimates",'Income (SE Wales)'!E81,'Income (SE Wales)'!W81)</f>
        <v>66392.701507359103</v>
      </c>
      <c r="AE81" s="4">
        <f>IF('Tenure Split (WALES)'!$D$8="WG Estimates",'Income (SE Wales)'!F81,'Income (SE Wales)'!X81)</f>
        <v>68828.741227698993</v>
      </c>
      <c r="AF81" s="4">
        <f>IF('Tenure Split (WALES)'!$D$8="WG Estimates",'Income (SE Wales)'!G81,'Income (SE Wales)'!Y81)</f>
        <v>71647.941340873338</v>
      </c>
      <c r="AG81" s="4">
        <f>IF('Tenure Split (WALES)'!$D$8="WG Estimates",'Income (SE Wales)'!H81,'Income (SE Wales)'!Z81)</f>
        <v>74651.536940925493</v>
      </c>
    </row>
    <row r="82" spans="2:33" x14ac:dyDescent="0.25">
      <c r="B82" s="20">
        <v>88</v>
      </c>
      <c r="C82" s="59">
        <v>64744</v>
      </c>
      <c r="D82" s="59">
        <f>C82*(1+'Tenure Split (SE Wales)'!C$109)+(C$44*(-(50-$B82)*('Tenure Split (SE Wales)'!C$110/40)))</f>
        <v>67284.130067850623</v>
      </c>
      <c r="E82" s="59">
        <f>D82*(1+'Tenure Split (SE Wales)'!D$109)+(D$44*(-(50-$B82)*('Tenure Split (SE Wales)'!D$110/40)))</f>
        <v>69272.575766727794</v>
      </c>
      <c r="F82" s="59">
        <f>E82*(1+'Tenure Split (SE Wales)'!E$109)+(E$44*(-(50-$B82)*('Tenure Split (SE Wales)'!E$110/40)))</f>
        <v>71810.061310416495</v>
      </c>
      <c r="G82" s="59">
        <f>F82*(1+'Tenure Split (SE Wales)'!F$109)+(F$44*(-(50-$B82)*('Tenure Split (SE Wales)'!F$110/40)))</f>
        <v>74747.032370995526</v>
      </c>
      <c r="H82" s="60">
        <f>G82*(1+'Tenure Split (SE Wales)'!G$109)+(G$44*(-(50-$B82)*('Tenure Split (SE Wales)'!G$110/40)))</f>
        <v>77876.059661745952</v>
      </c>
      <c r="L82" s="64" t="str">
        <f t="shared" si="4"/>
        <v/>
      </c>
      <c r="M82" s="251"/>
      <c r="N82" s="14">
        <f t="shared" si="7"/>
        <v>1</v>
      </c>
      <c r="T82" s="1">
        <f t="shared" si="5"/>
        <v>88</v>
      </c>
      <c r="U82" s="4" t="str">
        <f t="shared" si="6"/>
        <v/>
      </c>
      <c r="V82" s="59" t="e">
        <f>IF($K$4=$V$3,M82,U82*(1+'Tenure Split (SE Wales)'!C$109)+(U$44*(-(50-$B82)*('Tenure Split (SE Wales)'!C$110/40))))</f>
        <v>#VALUE!</v>
      </c>
      <c r="W82" s="59" t="e">
        <f>V82*(1+'Tenure Split (SE Wales)'!D$109)+(V$44*(-(50-$B82)*('Tenure Split (SE Wales)'!D$110/40)))</f>
        <v>#VALUE!</v>
      </c>
      <c r="X82" s="59" t="e">
        <f>W82*(1+'Tenure Split (SE Wales)'!E$109)+(W$44*(-(50-$B82)*('Tenure Split (SE Wales)'!E$110/40)))</f>
        <v>#VALUE!</v>
      </c>
      <c r="Y82" s="59" t="e">
        <f>X82*(1+'Tenure Split (SE Wales)'!F$109)+(X$44*(-(50-$B82)*('Tenure Split (SE Wales)'!F$110/40)))</f>
        <v>#VALUE!</v>
      </c>
      <c r="Z82" s="59" t="e">
        <f>Y82*(1+'Tenure Split (SE Wales)'!G$109)+(Y$44*(-(50-$B82)*('Tenure Split (SE Wales)'!G$110/40)))</f>
        <v>#VALUE!</v>
      </c>
      <c r="AB82" s="1">
        <v>88</v>
      </c>
      <c r="AC82" s="4">
        <f>IF('Tenure Split (WALES)'!$D$8="WG Estimates",'Income (SE Wales)'!D82,'Income (SE Wales)'!V82)</f>
        <v>67284.130067850623</v>
      </c>
      <c r="AD82" s="4">
        <f>IF('Tenure Split (WALES)'!$D$8="WG Estimates",'Income (SE Wales)'!E82,'Income (SE Wales)'!W82)</f>
        <v>69272.575766727794</v>
      </c>
      <c r="AE82" s="4">
        <f>IF('Tenure Split (WALES)'!$D$8="WG Estimates",'Income (SE Wales)'!F82,'Income (SE Wales)'!X82)</f>
        <v>71810.061310416495</v>
      </c>
      <c r="AF82" s="4">
        <f>IF('Tenure Split (WALES)'!$D$8="WG Estimates",'Income (SE Wales)'!G82,'Income (SE Wales)'!Y82)</f>
        <v>74747.032370995526</v>
      </c>
      <c r="AG82" s="4">
        <f>IF('Tenure Split (WALES)'!$D$8="WG Estimates",'Income (SE Wales)'!H82,'Income (SE Wales)'!Z82)</f>
        <v>77876.059661745952</v>
      </c>
    </row>
    <row r="83" spans="2:33" x14ac:dyDescent="0.25">
      <c r="B83" s="20">
        <v>89</v>
      </c>
      <c r="C83" s="59">
        <v>67331</v>
      </c>
      <c r="D83" s="59">
        <f>C83*(1+'Tenure Split (SE Wales)'!C$109)+(C$44*(-(50-$B83)*('Tenure Split (SE Wales)'!C$110/40)))</f>
        <v>69969.221255043711</v>
      </c>
      <c r="E83" s="59">
        <f>D83*(1+'Tenure Split (SE Wales)'!D$109)+(D$44*(-(50-$B83)*('Tenure Split (SE Wales)'!D$110/40)))</f>
        <v>72033.506233140753</v>
      </c>
      <c r="F83" s="59">
        <f>E83*(1+'Tenure Split (SE Wales)'!E$109)+(E$44*(-(50-$B83)*('Tenure Split (SE Wales)'!E$110/40)))</f>
        <v>74668.535885564052</v>
      </c>
      <c r="G83" s="59">
        <f>F83*(1+'Tenure Split (SE Wales)'!F$109)+(F$44*(-(50-$B83)*('Tenure Split (SE Wales)'!F$110/40)))</f>
        <v>77718.72206316622</v>
      </c>
      <c r="H83" s="60">
        <f>G83*(1+'Tenure Split (SE Wales)'!G$109)+(G$44*(-(50-$B83)*('Tenure Split (SE Wales)'!G$110/40)))</f>
        <v>80968.331866470966</v>
      </c>
      <c r="L83" s="64" t="str">
        <f t="shared" si="4"/>
        <v/>
      </c>
      <c r="M83" s="251"/>
      <c r="N83" s="14">
        <f t="shared" si="7"/>
        <v>1</v>
      </c>
      <c r="T83" s="1">
        <f t="shared" si="5"/>
        <v>89</v>
      </c>
      <c r="U83" s="4" t="str">
        <f t="shared" si="6"/>
        <v/>
      </c>
      <c r="V83" s="59" t="e">
        <f>IF($K$4=$V$3,M83,U83*(1+'Tenure Split (SE Wales)'!C$109)+(U$44*(-(50-$B83)*('Tenure Split (SE Wales)'!C$110/40))))</f>
        <v>#VALUE!</v>
      </c>
      <c r="W83" s="59" t="e">
        <f>V83*(1+'Tenure Split (SE Wales)'!D$109)+(V$44*(-(50-$B83)*('Tenure Split (SE Wales)'!D$110/40)))</f>
        <v>#VALUE!</v>
      </c>
      <c r="X83" s="59" t="e">
        <f>W83*(1+'Tenure Split (SE Wales)'!E$109)+(W$44*(-(50-$B83)*('Tenure Split (SE Wales)'!E$110/40)))</f>
        <v>#VALUE!</v>
      </c>
      <c r="Y83" s="59" t="e">
        <f>X83*(1+'Tenure Split (SE Wales)'!F$109)+(X$44*(-(50-$B83)*('Tenure Split (SE Wales)'!F$110/40)))</f>
        <v>#VALUE!</v>
      </c>
      <c r="Z83" s="59" t="e">
        <f>Y83*(1+'Tenure Split (SE Wales)'!G$109)+(Y$44*(-(50-$B83)*('Tenure Split (SE Wales)'!G$110/40)))</f>
        <v>#VALUE!</v>
      </c>
      <c r="AB83" s="1">
        <v>89</v>
      </c>
      <c r="AC83" s="4">
        <f>IF('Tenure Split (WALES)'!$D$8="WG Estimates",'Income (SE Wales)'!D83,'Income (SE Wales)'!V83)</f>
        <v>69969.221255043711</v>
      </c>
      <c r="AD83" s="4">
        <f>IF('Tenure Split (WALES)'!$D$8="WG Estimates",'Income (SE Wales)'!E83,'Income (SE Wales)'!W83)</f>
        <v>72033.506233140753</v>
      </c>
      <c r="AE83" s="4">
        <f>IF('Tenure Split (WALES)'!$D$8="WG Estimates",'Income (SE Wales)'!F83,'Income (SE Wales)'!X83)</f>
        <v>74668.535885564052</v>
      </c>
      <c r="AF83" s="4">
        <f>IF('Tenure Split (WALES)'!$D$8="WG Estimates",'Income (SE Wales)'!G83,'Income (SE Wales)'!Y83)</f>
        <v>77718.72206316622</v>
      </c>
      <c r="AG83" s="4">
        <f>IF('Tenure Split (WALES)'!$D$8="WG Estimates",'Income (SE Wales)'!H83,'Income (SE Wales)'!Z83)</f>
        <v>80968.331866470966</v>
      </c>
    </row>
    <row r="84" spans="2:33" x14ac:dyDescent="0.25">
      <c r="B84" s="23">
        <v>90</v>
      </c>
      <c r="C84" s="62">
        <v>70654.67</v>
      </c>
      <c r="D84" s="62">
        <f>C84*(1+'Tenure Split (SE Wales)'!C$109)+(C$44*(-(50-$B84)*('Tenure Split (SE Wales)'!C$110/40)))</f>
        <v>73417.04388398517</v>
      </c>
      <c r="E84" s="62">
        <f>D84*(1+'Tenure Split (SE Wales)'!D$109)+(D$44*(-(50-$B84)*('Tenure Split (SE Wales)'!D$110/40)))</f>
        <v>75576.778877738499</v>
      </c>
      <c r="F84" s="62">
        <f>E84*(1+'Tenure Split (SE Wales)'!E$109)+(E$44*(-(50-$B84)*('Tenure Split (SE Wales)'!E$110/40)))</f>
        <v>78335.015818403845</v>
      </c>
      <c r="G84" s="62">
        <f>F84*(1+'Tenure Split (SE Wales)'!F$109)+(F$44*(-(50-$B84)*('Tenure Split (SE Wales)'!F$110/40)))</f>
        <v>81528.382680593233</v>
      </c>
      <c r="H84" s="63">
        <f>G84*(1+'Tenure Split (SE Wales)'!G$109)+(G$44*(-(50-$B84)*('Tenure Split (SE Wales)'!G$110/40)))</f>
        <v>84930.470032731755</v>
      </c>
      <c r="L84" s="65" t="str">
        <f t="shared" si="4"/>
        <v/>
      </c>
      <c r="M84" s="251"/>
      <c r="N84" s="14">
        <f t="shared" si="7"/>
        <v>1</v>
      </c>
      <c r="T84" s="1">
        <f t="shared" si="5"/>
        <v>90</v>
      </c>
      <c r="U84" s="4" t="str">
        <f t="shared" si="6"/>
        <v/>
      </c>
      <c r="V84" s="59" t="e">
        <f>IF($K$4=$V$3,M84,U84*(1+'Tenure Split (SE Wales)'!C$109)+(U$44*(-(50-$B84)*('Tenure Split (SE Wales)'!C$110/40))))</f>
        <v>#VALUE!</v>
      </c>
      <c r="W84" s="59" t="e">
        <f>V84*(1+'Tenure Split (SE Wales)'!D$109)+(V$44*(-(50-$B84)*('Tenure Split (SE Wales)'!D$110/40)))</f>
        <v>#VALUE!</v>
      </c>
      <c r="X84" s="59" t="e">
        <f>W84*(1+'Tenure Split (SE Wales)'!E$109)+(W$44*(-(50-$B84)*('Tenure Split (SE Wales)'!E$110/40)))</f>
        <v>#VALUE!</v>
      </c>
      <c r="Y84" s="59" t="e">
        <f>X84*(1+'Tenure Split (SE Wales)'!F$109)+(X$44*(-(50-$B84)*('Tenure Split (SE Wales)'!F$110/40)))</f>
        <v>#VALUE!</v>
      </c>
      <c r="Z84" s="59" t="e">
        <f>Y84*(1+'Tenure Split (SE Wales)'!G$109)+(Y$44*(-(50-$B84)*('Tenure Split (SE Wales)'!G$110/40)))</f>
        <v>#VALUE!</v>
      </c>
      <c r="AB84" s="1">
        <v>90</v>
      </c>
      <c r="AC84" s="4">
        <f>IF('Tenure Split (WALES)'!$D$8="WG Estimates",'Income (SE Wales)'!D84,'Income (SE Wales)'!V84)</f>
        <v>73417.04388398517</v>
      </c>
      <c r="AD84" s="4">
        <f>IF('Tenure Split (WALES)'!$D$8="WG Estimates",'Income (SE Wales)'!E84,'Income (SE Wales)'!W84)</f>
        <v>75576.778877738499</v>
      </c>
      <c r="AE84" s="4">
        <f>IF('Tenure Split (WALES)'!$D$8="WG Estimates",'Income (SE Wales)'!F84,'Income (SE Wales)'!X84)</f>
        <v>78335.015818403845</v>
      </c>
      <c r="AF84" s="4">
        <f>IF('Tenure Split (WALES)'!$D$8="WG Estimates",'Income (SE Wales)'!G84,'Income (SE Wales)'!Y84)</f>
        <v>81528.382680593233</v>
      </c>
      <c r="AG84" s="4">
        <f>IF('Tenure Split (WALES)'!$D$8="WG Estimates",'Income (SE Wales)'!H84,'Income (SE Wales)'!Z84)</f>
        <v>84930.470032731755</v>
      </c>
    </row>
    <row r="85" spans="2:33" x14ac:dyDescent="0.25">
      <c r="N85" s="14">
        <f>IF(SUM(N4:N84)&gt;0,1,0)</f>
        <v>1</v>
      </c>
    </row>
  </sheetData>
  <sheetProtection sheet="1" objects="1" scenarios="1"/>
  <mergeCells count="3">
    <mergeCell ref="B2:H2"/>
    <mergeCell ref="J2:M2"/>
    <mergeCell ref="J9:J10"/>
  </mergeCells>
  <dataValidations count="2">
    <dataValidation type="list" allowBlank="1" showInputMessage="1" showErrorMessage="1" sqref="K4">
      <formula1>"2017,2018"</formula1>
    </dataValidation>
    <dataValidation type="decimal" operator="greaterThan" allowBlank="1" showInputMessage="1" showErrorMessage="1" sqref="M4:M84">
      <formula1>0</formula1>
    </dataValidation>
  </dataValidation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85"/>
  <sheetViews>
    <sheetView showGridLines="0" workbookViewId="0"/>
  </sheetViews>
  <sheetFormatPr defaultColWidth="9.140625" defaultRowHeight="15" x14ac:dyDescent="0.25"/>
  <cols>
    <col min="1" max="1" width="2.140625" style="1" customWidth="1"/>
    <col min="2" max="2" width="10.140625" style="1" bestFit="1" customWidth="1"/>
    <col min="3" max="3" width="9.140625" style="1"/>
    <col min="4" max="8" width="10.140625" style="1" bestFit="1" customWidth="1"/>
    <col min="9" max="9" width="9.140625" style="1"/>
    <col min="10" max="10" width="53.85546875" style="1" customWidth="1"/>
    <col min="11" max="11" width="9.140625" style="1"/>
    <col min="12" max="12" width="10.140625" style="1" customWidth="1"/>
    <col min="13" max="13" width="9.140625" style="1"/>
    <col min="14" max="14" width="9.140625" style="1" hidden="1" customWidth="1"/>
    <col min="15" max="19" width="9.140625" style="1"/>
    <col min="20" max="20" width="9.140625" style="1" hidden="1" customWidth="1"/>
    <col min="21" max="26" width="10.140625" style="1" hidden="1" customWidth="1"/>
    <col min="27" max="28" width="9.140625" style="1" customWidth="1"/>
    <col min="29" max="29" width="10.140625" style="1" customWidth="1"/>
    <col min="30" max="33" width="9.140625" style="1" customWidth="1"/>
    <col min="34" max="16384" width="9.140625" style="1"/>
  </cols>
  <sheetData>
    <row r="1" spans="2:33" ht="9.75" customHeight="1" x14ac:dyDescent="0.25"/>
    <row r="2" spans="2:33" ht="26.25" customHeight="1" x14ac:dyDescent="0.25">
      <c r="B2" s="430" t="s">
        <v>87</v>
      </c>
      <c r="C2" s="431"/>
      <c r="D2" s="431"/>
      <c r="E2" s="431"/>
      <c r="F2" s="431"/>
      <c r="G2" s="431"/>
      <c r="H2" s="432"/>
      <c r="J2" s="433" t="s">
        <v>86</v>
      </c>
      <c r="K2" s="434"/>
      <c r="L2" s="434"/>
      <c r="M2" s="435"/>
      <c r="N2" s="67"/>
      <c r="U2" s="1" t="s">
        <v>88</v>
      </c>
      <c r="AB2" s="1" t="s">
        <v>89</v>
      </c>
    </row>
    <row r="3" spans="2:33" x14ac:dyDescent="0.25">
      <c r="B3" s="34" t="s">
        <v>46</v>
      </c>
      <c r="C3" s="35">
        <v>2017</v>
      </c>
      <c r="D3" s="35">
        <v>2018</v>
      </c>
      <c r="E3" s="35">
        <v>2019</v>
      </c>
      <c r="F3" s="35">
        <v>2020</v>
      </c>
      <c r="G3" s="35">
        <v>2021</v>
      </c>
      <c r="H3" s="57">
        <v>2022</v>
      </c>
      <c r="L3" s="34" t="s">
        <v>46</v>
      </c>
      <c r="M3" s="66">
        <f>K4</f>
        <v>0</v>
      </c>
      <c r="N3" s="68" t="s">
        <v>80</v>
      </c>
      <c r="U3" s="1">
        <v>2017</v>
      </c>
      <c r="V3" s="1">
        <v>2018</v>
      </c>
      <c r="W3" s="1">
        <v>2019</v>
      </c>
      <c r="X3" s="1">
        <v>2020</v>
      </c>
      <c r="Y3" s="1">
        <v>2021</v>
      </c>
      <c r="Z3" s="1">
        <v>2022</v>
      </c>
      <c r="AC3" s="1" t="s">
        <v>9</v>
      </c>
      <c r="AD3" s="1" t="s">
        <v>10</v>
      </c>
      <c r="AE3" s="1" t="s">
        <v>11</v>
      </c>
      <c r="AF3" s="1" t="s">
        <v>12</v>
      </c>
      <c r="AG3" s="1" t="s">
        <v>13</v>
      </c>
    </row>
    <row r="4" spans="2:33" x14ac:dyDescent="0.25">
      <c r="B4" s="20">
        <v>10</v>
      </c>
      <c r="C4" s="58">
        <v>77000</v>
      </c>
      <c r="D4" s="59">
        <f>C4*(1+'Tenure Split (WALES)'!C$118)</f>
        <v>79187.230067568278</v>
      </c>
      <c r="E4" s="59">
        <f>D4*(1+'Tenure Split (WALES)'!D$118)</f>
        <v>79363.544770190711</v>
      </c>
      <c r="F4" s="59">
        <f>E4*(1+'Tenure Split (WALES)'!E$118)</f>
        <v>81071.795868230634</v>
      </c>
      <c r="G4" s="59">
        <f>F4*(1+'Tenure Split (WALES)'!F$118)</f>
        <v>84233.528497600957</v>
      </c>
      <c r="H4" s="60">
        <f>G4*(1+'Tenure Split (WALES)'!G$118)</f>
        <v>87727.528849710958</v>
      </c>
      <c r="I4" s="4"/>
      <c r="J4" s="69" t="str">
        <f>IF('Tenure Split (WALES)'!D18="Other","Choose what year of data you would like to enter:","")</f>
        <v/>
      </c>
      <c r="K4" s="263"/>
      <c r="L4" s="64" t="str">
        <f t="shared" ref="L4:L67" si="0">IF(ISBLANK($K$4),"",B4)</f>
        <v/>
      </c>
      <c r="M4" s="264"/>
      <c r="N4" s="14">
        <f>IF(ISBLANK(M4),1,0)</f>
        <v>1</v>
      </c>
      <c r="O4" s="11" t="str">
        <f>IF(J4="","",IF(N85=1,"&lt;&lt; Enter each percentile data here.",""))</f>
        <v/>
      </c>
      <c r="T4" s="1">
        <f t="shared" ref="T4:T67" si="1">B4</f>
        <v>10</v>
      </c>
      <c r="U4" s="4" t="str">
        <f t="shared" ref="U4:U67" si="2">IF($M$3=$U$3,M4,"")</f>
        <v/>
      </c>
      <c r="V4" s="4" t="e">
        <f>IF($V$3=$M$3,M4,U4*(1+'Tenure Split (WALES)'!C$118))</f>
        <v>#VALUE!</v>
      </c>
      <c r="W4" s="4" t="e">
        <f>V4*(1+'Tenure Split (WALES)'!D$118)</f>
        <v>#VALUE!</v>
      </c>
      <c r="X4" s="4" t="e">
        <f>W4*(1+'Tenure Split (WALES)'!E$118)</f>
        <v>#VALUE!</v>
      </c>
      <c r="Y4" s="4" t="e">
        <f>X4*(1+'Tenure Split (WALES)'!F$118)</f>
        <v>#VALUE!</v>
      </c>
      <c r="Z4" s="4" t="e">
        <f>Y4*(1+'Tenure Split (WALES)'!G$118)</f>
        <v>#VALUE!</v>
      </c>
      <c r="AB4" s="1">
        <v>10</v>
      </c>
      <c r="AC4" s="4">
        <f>IF('Tenure Split (WALES)'!$D$18="Land Registry Data",'House Prices (Wales)'!D4,'House Prices (Wales)'!V4)</f>
        <v>79187.230067568278</v>
      </c>
      <c r="AD4" s="4">
        <f>IF('Tenure Split (WALES)'!$D$18="Land Registry Data",'House Prices (Wales)'!E4,'House Prices (Wales)'!W4)</f>
        <v>79363.544770190711</v>
      </c>
      <c r="AE4" s="4">
        <f>IF('Tenure Split (WALES)'!$D$18="Land Registry Data",'House Prices (Wales)'!F4,'House Prices (Wales)'!X4)</f>
        <v>81071.795868230634</v>
      </c>
      <c r="AF4" s="4">
        <f>IF('Tenure Split (WALES)'!$D$18="Land Registry Data",'House Prices (Wales)'!G4,'House Prices (Wales)'!Y4)</f>
        <v>84233.528497600957</v>
      </c>
      <c r="AG4" s="4">
        <f>IF('Tenure Split (WALES)'!$D$18="Land Registry Data",'House Prices (Wales)'!H4,'House Prices (Wales)'!Z4)</f>
        <v>87727.528849710958</v>
      </c>
    </row>
    <row r="5" spans="2:33" x14ac:dyDescent="0.25">
      <c r="B5" s="20">
        <v>11</v>
      </c>
      <c r="C5" s="58">
        <v>79950</v>
      </c>
      <c r="D5" s="59">
        <f>C5*(1+'Tenure Split (WALES)'!C$118)</f>
        <v>82221.026544182896</v>
      </c>
      <c r="E5" s="59">
        <f>D5*(1+'Tenure Split (WALES)'!D$118)</f>
        <v>82404.096160736968</v>
      </c>
      <c r="F5" s="59">
        <f>E5*(1+'Tenure Split (WALES)'!E$118)</f>
        <v>84177.793242403102</v>
      </c>
      <c r="G5" s="59">
        <f>F5*(1+'Tenure Split (WALES)'!F$118)</f>
        <v>87460.65718679475</v>
      </c>
      <c r="H5" s="60">
        <f>G5*(1+'Tenure Split (WALES)'!G$118)</f>
        <v>91088.518591355722</v>
      </c>
      <c r="J5" s="70" t="str">
        <f>IF(J4="","","You only need to enter one year of data (either 2017 or 2018)")</f>
        <v/>
      </c>
      <c r="L5" s="64" t="str">
        <f t="shared" si="0"/>
        <v/>
      </c>
      <c r="M5" s="264"/>
      <c r="N5" s="14">
        <f t="shared" ref="N5:N68" si="3">IF(ISBLANK(M5),1,0)</f>
        <v>1</v>
      </c>
      <c r="T5" s="1">
        <f t="shared" si="1"/>
        <v>11</v>
      </c>
      <c r="U5" s="4" t="str">
        <f t="shared" si="2"/>
        <v/>
      </c>
      <c r="V5" s="4" t="e">
        <f>IF($V$3=$M$3,M5,U5*(1+'Tenure Split (WALES)'!C$118))</f>
        <v>#VALUE!</v>
      </c>
      <c r="W5" s="4" t="e">
        <f>V5*(1+'Tenure Split (WALES)'!D$118)</f>
        <v>#VALUE!</v>
      </c>
      <c r="X5" s="4" t="e">
        <f>W5*(1+'Tenure Split (WALES)'!E$118)</f>
        <v>#VALUE!</v>
      </c>
      <c r="Y5" s="4" t="e">
        <f>X5*(1+'Tenure Split (WALES)'!F$118)</f>
        <v>#VALUE!</v>
      </c>
      <c r="Z5" s="4" t="e">
        <f>Y5*(1+'Tenure Split (WALES)'!G$118)</f>
        <v>#VALUE!</v>
      </c>
      <c r="AB5" s="1">
        <v>11</v>
      </c>
      <c r="AC5" s="4">
        <f>IF('Tenure Split (WALES)'!$D$18="Land Registry Data",'House Prices (Wales)'!D5,'House Prices (Wales)'!V5)</f>
        <v>82221.026544182896</v>
      </c>
      <c r="AD5" s="4">
        <f>IF('Tenure Split (WALES)'!$D$18="Land Registry Data",'House Prices (Wales)'!E5,'House Prices (Wales)'!W5)</f>
        <v>82404.096160736968</v>
      </c>
      <c r="AE5" s="4">
        <f>IF('Tenure Split (WALES)'!$D$18="Land Registry Data",'House Prices (Wales)'!F5,'House Prices (Wales)'!X5)</f>
        <v>84177.793242403102</v>
      </c>
      <c r="AF5" s="4">
        <f>IF('Tenure Split (WALES)'!$D$18="Land Registry Data",'House Prices (Wales)'!G5,'House Prices (Wales)'!Y5)</f>
        <v>87460.65718679475</v>
      </c>
      <c r="AG5" s="4">
        <f>IF('Tenure Split (WALES)'!$D$18="Land Registry Data",'House Prices (Wales)'!H5,'House Prices (Wales)'!Z5)</f>
        <v>91088.518591355722</v>
      </c>
    </row>
    <row r="6" spans="2:33" x14ac:dyDescent="0.25">
      <c r="B6" s="20">
        <v>12</v>
      </c>
      <c r="C6" s="58">
        <v>80000</v>
      </c>
      <c r="D6" s="59">
        <f>C6*(1+'Tenure Split (WALES)'!C$118)</f>
        <v>82272.44682344755</v>
      </c>
      <c r="E6" s="59">
        <f>D6*(1+'Tenure Split (WALES)'!D$118)</f>
        <v>82455.630930068262</v>
      </c>
      <c r="F6" s="59">
        <f>E6*(1+'Tenure Split (WALES)'!E$118)</f>
        <v>84230.437265694156</v>
      </c>
      <c r="G6" s="59">
        <f>F6*(1+'Tenure Split (WALES)'!F$118)</f>
        <v>87515.354283221764</v>
      </c>
      <c r="H6" s="60">
        <f>G6*(1+'Tenure Split (WALES)'!G$118)</f>
        <v>91145.484519180216</v>
      </c>
      <c r="L6" s="64" t="str">
        <f t="shared" si="0"/>
        <v/>
      </c>
      <c r="M6" s="264"/>
      <c r="N6" s="14">
        <f t="shared" si="3"/>
        <v>1</v>
      </c>
      <c r="T6" s="1">
        <f t="shared" si="1"/>
        <v>12</v>
      </c>
      <c r="U6" s="4" t="str">
        <f t="shared" si="2"/>
        <v/>
      </c>
      <c r="V6" s="4" t="e">
        <f>IF($V$3=$M$3,M6,U6*(1+'Tenure Split (WALES)'!C$118))</f>
        <v>#VALUE!</v>
      </c>
      <c r="W6" s="4" t="e">
        <f>V6*(1+'Tenure Split (WALES)'!D$118)</f>
        <v>#VALUE!</v>
      </c>
      <c r="X6" s="4" t="e">
        <f>W6*(1+'Tenure Split (WALES)'!E$118)</f>
        <v>#VALUE!</v>
      </c>
      <c r="Y6" s="4" t="e">
        <f>X6*(1+'Tenure Split (WALES)'!F$118)</f>
        <v>#VALUE!</v>
      </c>
      <c r="Z6" s="4" t="e">
        <f>Y6*(1+'Tenure Split (WALES)'!G$118)</f>
        <v>#VALUE!</v>
      </c>
      <c r="AB6" s="1">
        <v>12</v>
      </c>
      <c r="AC6" s="4">
        <f>IF('Tenure Split (WALES)'!$D$18="Land Registry Data",'House Prices (Wales)'!D6,'House Prices (Wales)'!V6)</f>
        <v>82272.44682344755</v>
      </c>
      <c r="AD6" s="4">
        <f>IF('Tenure Split (WALES)'!$D$18="Land Registry Data",'House Prices (Wales)'!E6,'House Prices (Wales)'!W6)</f>
        <v>82455.630930068262</v>
      </c>
      <c r="AE6" s="4">
        <f>IF('Tenure Split (WALES)'!$D$18="Land Registry Data",'House Prices (Wales)'!F6,'House Prices (Wales)'!X6)</f>
        <v>84230.437265694156</v>
      </c>
      <c r="AF6" s="4">
        <f>IF('Tenure Split (WALES)'!$D$18="Land Registry Data",'House Prices (Wales)'!G6,'House Prices (Wales)'!Y6)</f>
        <v>87515.354283221764</v>
      </c>
      <c r="AG6" s="4">
        <f>IF('Tenure Split (WALES)'!$D$18="Land Registry Data",'House Prices (Wales)'!H6,'House Prices (Wales)'!Z6)</f>
        <v>91145.484519180216</v>
      </c>
    </row>
    <row r="7" spans="2:33" x14ac:dyDescent="0.25">
      <c r="B7" s="20">
        <v>13</v>
      </c>
      <c r="C7" s="58">
        <v>83000</v>
      </c>
      <c r="D7" s="59">
        <f>C7*(1+'Tenure Split (WALES)'!C$118)</f>
        <v>85357.663579326836</v>
      </c>
      <c r="E7" s="59">
        <f>D7*(1+'Tenure Split (WALES)'!D$118)</f>
        <v>85547.717089945829</v>
      </c>
      <c r="F7" s="59">
        <f>E7*(1+'Tenure Split (WALES)'!E$118)</f>
        <v>87389.078663157707</v>
      </c>
      <c r="G7" s="59">
        <f>F7*(1+'Tenure Split (WALES)'!F$118)</f>
        <v>90797.180068842601</v>
      </c>
      <c r="H7" s="60">
        <f>G7*(1+'Tenure Split (WALES)'!G$118)</f>
        <v>94563.440188649489</v>
      </c>
      <c r="J7" s="11" t="str">
        <f>IF(J4="","",IF(N85=1,"User input not yet complete",IF(N85=0,"User input complete","")))</f>
        <v/>
      </c>
      <c r="L7" s="64" t="str">
        <f t="shared" si="0"/>
        <v/>
      </c>
      <c r="M7" s="264"/>
      <c r="N7" s="14">
        <f t="shared" si="3"/>
        <v>1</v>
      </c>
      <c r="T7" s="1">
        <f t="shared" si="1"/>
        <v>13</v>
      </c>
      <c r="U7" s="4" t="str">
        <f t="shared" si="2"/>
        <v/>
      </c>
      <c r="V7" s="4" t="e">
        <f>IF($V$3=$M$3,M7,U7*(1+'Tenure Split (WALES)'!C$118))</f>
        <v>#VALUE!</v>
      </c>
      <c r="W7" s="4" t="e">
        <f>V7*(1+'Tenure Split (WALES)'!D$118)</f>
        <v>#VALUE!</v>
      </c>
      <c r="X7" s="4" t="e">
        <f>W7*(1+'Tenure Split (WALES)'!E$118)</f>
        <v>#VALUE!</v>
      </c>
      <c r="Y7" s="4" t="e">
        <f>X7*(1+'Tenure Split (WALES)'!F$118)</f>
        <v>#VALUE!</v>
      </c>
      <c r="Z7" s="4" t="e">
        <f>Y7*(1+'Tenure Split (WALES)'!G$118)</f>
        <v>#VALUE!</v>
      </c>
      <c r="AB7" s="1">
        <v>13</v>
      </c>
      <c r="AC7" s="4">
        <f>IF('Tenure Split (WALES)'!$D$18="Land Registry Data",'House Prices (Wales)'!D7,'House Prices (Wales)'!V7)</f>
        <v>85357.663579326836</v>
      </c>
      <c r="AD7" s="4">
        <f>IF('Tenure Split (WALES)'!$D$18="Land Registry Data",'House Prices (Wales)'!E7,'House Prices (Wales)'!W7)</f>
        <v>85547.717089945829</v>
      </c>
      <c r="AE7" s="4">
        <f>IF('Tenure Split (WALES)'!$D$18="Land Registry Data",'House Prices (Wales)'!F7,'House Prices (Wales)'!X7)</f>
        <v>87389.078663157707</v>
      </c>
      <c r="AF7" s="4">
        <f>IF('Tenure Split (WALES)'!$D$18="Land Registry Data",'House Prices (Wales)'!G7,'House Prices (Wales)'!Y7)</f>
        <v>90797.180068842601</v>
      </c>
      <c r="AG7" s="4">
        <f>IF('Tenure Split (WALES)'!$D$18="Land Registry Data",'House Prices (Wales)'!H7,'House Prices (Wales)'!Z7)</f>
        <v>94563.440188649489</v>
      </c>
    </row>
    <row r="8" spans="2:33" x14ac:dyDescent="0.25">
      <c r="B8" s="20">
        <v>14</v>
      </c>
      <c r="C8" s="58">
        <v>85000</v>
      </c>
      <c r="D8" s="59">
        <f>C8*(1+'Tenure Split (WALES)'!C$118)</f>
        <v>87414.474749913032</v>
      </c>
      <c r="E8" s="59">
        <f>D8*(1+'Tenure Split (WALES)'!D$118)</f>
        <v>87609.10786319754</v>
      </c>
      <c r="F8" s="59">
        <f>E8*(1+'Tenure Split (WALES)'!E$118)</f>
        <v>89494.839594800054</v>
      </c>
      <c r="G8" s="59">
        <f>F8*(1+'Tenure Split (WALES)'!F$118)</f>
        <v>92985.063925923139</v>
      </c>
      <c r="H8" s="60">
        <f>G8*(1+'Tenure Split (WALES)'!G$118)</f>
        <v>96842.07730162899</v>
      </c>
      <c r="L8" s="64" t="str">
        <f t="shared" si="0"/>
        <v/>
      </c>
      <c r="M8" s="264"/>
      <c r="N8" s="14">
        <f t="shared" si="3"/>
        <v>1</v>
      </c>
      <c r="T8" s="1">
        <f t="shared" si="1"/>
        <v>14</v>
      </c>
      <c r="U8" s="4" t="str">
        <f t="shared" si="2"/>
        <v/>
      </c>
      <c r="V8" s="4" t="e">
        <f>IF($V$3=$M$3,M8,U8*(1+'Tenure Split (WALES)'!C$118))</f>
        <v>#VALUE!</v>
      </c>
      <c r="W8" s="4" t="e">
        <f>V8*(1+'Tenure Split (WALES)'!D$118)</f>
        <v>#VALUE!</v>
      </c>
      <c r="X8" s="4" t="e">
        <f>W8*(1+'Tenure Split (WALES)'!E$118)</f>
        <v>#VALUE!</v>
      </c>
      <c r="Y8" s="4" t="e">
        <f>X8*(1+'Tenure Split (WALES)'!F$118)</f>
        <v>#VALUE!</v>
      </c>
      <c r="Z8" s="4" t="e">
        <f>Y8*(1+'Tenure Split (WALES)'!G$118)</f>
        <v>#VALUE!</v>
      </c>
      <c r="AB8" s="1">
        <v>14</v>
      </c>
      <c r="AC8" s="4">
        <f>IF('Tenure Split (WALES)'!$D$18="Land Registry Data",'House Prices (Wales)'!D8,'House Prices (Wales)'!V8)</f>
        <v>87414.474749913032</v>
      </c>
      <c r="AD8" s="4">
        <f>IF('Tenure Split (WALES)'!$D$18="Land Registry Data",'House Prices (Wales)'!E8,'House Prices (Wales)'!W8)</f>
        <v>87609.10786319754</v>
      </c>
      <c r="AE8" s="4">
        <f>IF('Tenure Split (WALES)'!$D$18="Land Registry Data",'House Prices (Wales)'!F8,'House Prices (Wales)'!X8)</f>
        <v>89494.839594800054</v>
      </c>
      <c r="AF8" s="4">
        <f>IF('Tenure Split (WALES)'!$D$18="Land Registry Data",'House Prices (Wales)'!G8,'House Prices (Wales)'!Y8)</f>
        <v>92985.063925923139</v>
      </c>
      <c r="AG8" s="4">
        <f>IF('Tenure Split (WALES)'!$D$18="Land Registry Data",'House Prices (Wales)'!H8,'House Prices (Wales)'!Z8)</f>
        <v>96842.07730162899</v>
      </c>
    </row>
    <row r="9" spans="2:33" x14ac:dyDescent="0.25">
      <c r="B9" s="20">
        <v>15</v>
      </c>
      <c r="C9" s="58">
        <v>87000</v>
      </c>
      <c r="D9" s="59">
        <f>C9*(1+'Tenure Split (WALES)'!C$118)</f>
        <v>89471.285920499213</v>
      </c>
      <c r="E9" s="59">
        <f>D9*(1+'Tenure Split (WALES)'!D$118)</f>
        <v>89670.498636449236</v>
      </c>
      <c r="F9" s="59">
        <f>E9*(1+'Tenure Split (WALES)'!E$118)</f>
        <v>91600.600526442402</v>
      </c>
      <c r="G9" s="59">
        <f>F9*(1+'Tenure Split (WALES)'!F$118)</f>
        <v>95172.947783003678</v>
      </c>
      <c r="H9" s="60">
        <f>G9*(1+'Tenure Split (WALES)'!G$118)</f>
        <v>99120.71441460849</v>
      </c>
      <c r="J9" s="436" t="str">
        <f>IF(J4="","If you would like to use your own house price distribution data, please change your dropdown selection.","")</f>
        <v>If you would like to use your own house price distribution data, please change your dropdown selection.</v>
      </c>
      <c r="L9" s="64" t="str">
        <f t="shared" si="0"/>
        <v/>
      </c>
      <c r="M9" s="264"/>
      <c r="N9" s="14">
        <f t="shared" si="3"/>
        <v>1</v>
      </c>
      <c r="T9" s="1">
        <f t="shared" si="1"/>
        <v>15</v>
      </c>
      <c r="U9" s="4" t="str">
        <f t="shared" si="2"/>
        <v/>
      </c>
      <c r="V9" s="4" t="e">
        <f>IF($V$3=$M$3,M9,U9*(1+'Tenure Split (WALES)'!C$118))</f>
        <v>#VALUE!</v>
      </c>
      <c r="W9" s="4" t="e">
        <f>V9*(1+'Tenure Split (WALES)'!D$118)</f>
        <v>#VALUE!</v>
      </c>
      <c r="X9" s="4" t="e">
        <f>W9*(1+'Tenure Split (WALES)'!E$118)</f>
        <v>#VALUE!</v>
      </c>
      <c r="Y9" s="4" t="e">
        <f>X9*(1+'Tenure Split (WALES)'!F$118)</f>
        <v>#VALUE!</v>
      </c>
      <c r="Z9" s="4" t="e">
        <f>Y9*(1+'Tenure Split (WALES)'!G$118)</f>
        <v>#VALUE!</v>
      </c>
      <c r="AB9" s="1">
        <v>15</v>
      </c>
      <c r="AC9" s="4">
        <f>IF('Tenure Split (WALES)'!$D$18="Land Registry Data",'House Prices (Wales)'!D9,'House Prices (Wales)'!V9)</f>
        <v>89471.285920499213</v>
      </c>
      <c r="AD9" s="4">
        <f>IF('Tenure Split (WALES)'!$D$18="Land Registry Data",'House Prices (Wales)'!E9,'House Prices (Wales)'!W9)</f>
        <v>89670.498636449236</v>
      </c>
      <c r="AE9" s="4">
        <f>IF('Tenure Split (WALES)'!$D$18="Land Registry Data",'House Prices (Wales)'!F9,'House Prices (Wales)'!X9)</f>
        <v>91600.600526442402</v>
      </c>
      <c r="AF9" s="4">
        <f>IF('Tenure Split (WALES)'!$D$18="Land Registry Data",'House Prices (Wales)'!G9,'House Prices (Wales)'!Y9)</f>
        <v>95172.947783003678</v>
      </c>
      <c r="AG9" s="4">
        <f>IF('Tenure Split (WALES)'!$D$18="Land Registry Data",'House Prices (Wales)'!H9,'House Prices (Wales)'!Z9)</f>
        <v>99120.71441460849</v>
      </c>
    </row>
    <row r="10" spans="2:33" x14ac:dyDescent="0.25">
      <c r="B10" s="20">
        <v>16</v>
      </c>
      <c r="C10" s="58">
        <v>90000</v>
      </c>
      <c r="D10" s="59">
        <f>C10*(1+'Tenure Split (WALES)'!C$118)</f>
        <v>92556.502676378499</v>
      </c>
      <c r="E10" s="59">
        <f>D10*(1+'Tenure Split (WALES)'!D$118)</f>
        <v>92762.584796326802</v>
      </c>
      <c r="F10" s="59">
        <f>E10*(1+'Tenure Split (WALES)'!E$118)</f>
        <v>94759.241923905938</v>
      </c>
      <c r="G10" s="59">
        <f>F10*(1+'Tenure Split (WALES)'!F$118)</f>
        <v>98454.773568624485</v>
      </c>
      <c r="H10" s="60">
        <f>G10*(1+'Tenure Split (WALES)'!G$118)</f>
        <v>102538.67008407773</v>
      </c>
      <c r="J10" s="436"/>
      <c r="L10" s="64" t="str">
        <f t="shared" si="0"/>
        <v/>
      </c>
      <c r="M10" s="264"/>
      <c r="N10" s="14">
        <f t="shared" si="3"/>
        <v>1</v>
      </c>
      <c r="T10" s="1">
        <f t="shared" si="1"/>
        <v>16</v>
      </c>
      <c r="U10" s="4" t="str">
        <f t="shared" si="2"/>
        <v/>
      </c>
      <c r="V10" s="4" t="e">
        <f>IF($V$3=$M$3,M10,U10*(1+'Tenure Split (WALES)'!C$118))</f>
        <v>#VALUE!</v>
      </c>
      <c r="W10" s="4" t="e">
        <f>V10*(1+'Tenure Split (WALES)'!D$118)</f>
        <v>#VALUE!</v>
      </c>
      <c r="X10" s="4" t="e">
        <f>W10*(1+'Tenure Split (WALES)'!E$118)</f>
        <v>#VALUE!</v>
      </c>
      <c r="Y10" s="4" t="e">
        <f>X10*(1+'Tenure Split (WALES)'!F$118)</f>
        <v>#VALUE!</v>
      </c>
      <c r="Z10" s="4" t="e">
        <f>Y10*(1+'Tenure Split (WALES)'!G$118)</f>
        <v>#VALUE!</v>
      </c>
      <c r="AB10" s="1">
        <v>16</v>
      </c>
      <c r="AC10" s="4">
        <f>IF('Tenure Split (WALES)'!$D$18="Land Registry Data",'House Prices (Wales)'!D10,'House Prices (Wales)'!V10)</f>
        <v>92556.502676378499</v>
      </c>
      <c r="AD10" s="4">
        <f>IF('Tenure Split (WALES)'!$D$18="Land Registry Data",'House Prices (Wales)'!E10,'House Prices (Wales)'!W10)</f>
        <v>92762.584796326802</v>
      </c>
      <c r="AE10" s="4">
        <f>IF('Tenure Split (WALES)'!$D$18="Land Registry Data",'House Prices (Wales)'!F10,'House Prices (Wales)'!X10)</f>
        <v>94759.241923905938</v>
      </c>
      <c r="AF10" s="4">
        <f>IF('Tenure Split (WALES)'!$D$18="Land Registry Data",'House Prices (Wales)'!G10,'House Prices (Wales)'!Y10)</f>
        <v>98454.773568624485</v>
      </c>
      <c r="AG10" s="4">
        <f>IF('Tenure Split (WALES)'!$D$18="Land Registry Data",'House Prices (Wales)'!H10,'House Prices (Wales)'!Z10)</f>
        <v>102538.67008407773</v>
      </c>
    </row>
    <row r="11" spans="2:33" x14ac:dyDescent="0.25">
      <c r="B11" s="20">
        <v>17</v>
      </c>
      <c r="C11" s="58">
        <v>91000</v>
      </c>
      <c r="D11" s="59">
        <f>C11*(1+'Tenure Split (WALES)'!C$118)</f>
        <v>93584.90826167159</v>
      </c>
      <c r="E11" s="59">
        <f>D11*(1+'Tenure Split (WALES)'!D$118)</f>
        <v>93793.280182952658</v>
      </c>
      <c r="F11" s="59">
        <f>E11*(1+'Tenure Split (WALES)'!E$118)</f>
        <v>95812.122389727127</v>
      </c>
      <c r="G11" s="59">
        <f>F11*(1+'Tenure Split (WALES)'!F$118)</f>
        <v>99548.715497164783</v>
      </c>
      <c r="H11" s="60">
        <f>G11*(1+'Tenure Split (WALES)'!G$118)</f>
        <v>103677.98864056752</v>
      </c>
      <c r="L11" s="64" t="str">
        <f t="shared" si="0"/>
        <v/>
      </c>
      <c r="M11" s="264"/>
      <c r="N11" s="14">
        <f t="shared" si="3"/>
        <v>1</v>
      </c>
      <c r="T11" s="1">
        <f t="shared" si="1"/>
        <v>17</v>
      </c>
      <c r="U11" s="4" t="str">
        <f t="shared" si="2"/>
        <v/>
      </c>
      <c r="V11" s="4" t="e">
        <f>IF($V$3=$M$3,M11,U11*(1+'Tenure Split (WALES)'!C$118))</f>
        <v>#VALUE!</v>
      </c>
      <c r="W11" s="4" t="e">
        <f>V11*(1+'Tenure Split (WALES)'!D$118)</f>
        <v>#VALUE!</v>
      </c>
      <c r="X11" s="4" t="e">
        <f>W11*(1+'Tenure Split (WALES)'!E$118)</f>
        <v>#VALUE!</v>
      </c>
      <c r="Y11" s="4" t="e">
        <f>X11*(1+'Tenure Split (WALES)'!F$118)</f>
        <v>#VALUE!</v>
      </c>
      <c r="Z11" s="4" t="e">
        <f>Y11*(1+'Tenure Split (WALES)'!G$118)</f>
        <v>#VALUE!</v>
      </c>
      <c r="AB11" s="1">
        <v>17</v>
      </c>
      <c r="AC11" s="4">
        <f>IF('Tenure Split (WALES)'!$D$18="Land Registry Data",'House Prices (Wales)'!D11,'House Prices (Wales)'!V11)</f>
        <v>93584.90826167159</v>
      </c>
      <c r="AD11" s="4">
        <f>IF('Tenure Split (WALES)'!$D$18="Land Registry Data",'House Prices (Wales)'!E11,'House Prices (Wales)'!W11)</f>
        <v>93793.280182952658</v>
      </c>
      <c r="AE11" s="4">
        <f>IF('Tenure Split (WALES)'!$D$18="Land Registry Data",'House Prices (Wales)'!F11,'House Prices (Wales)'!X11)</f>
        <v>95812.122389727127</v>
      </c>
      <c r="AF11" s="4">
        <f>IF('Tenure Split (WALES)'!$D$18="Land Registry Data",'House Prices (Wales)'!G11,'House Prices (Wales)'!Y11)</f>
        <v>99548.715497164783</v>
      </c>
      <c r="AG11" s="4">
        <f>IF('Tenure Split (WALES)'!$D$18="Land Registry Data",'House Prices (Wales)'!H11,'House Prices (Wales)'!Z11)</f>
        <v>103677.98864056752</v>
      </c>
    </row>
    <row r="12" spans="2:33" x14ac:dyDescent="0.25">
      <c r="B12" s="20">
        <v>18</v>
      </c>
      <c r="C12" s="58">
        <v>94000</v>
      </c>
      <c r="D12" s="59">
        <f>C12*(1+'Tenure Split (WALES)'!C$118)</f>
        <v>96670.125017550876</v>
      </c>
      <c r="E12" s="59">
        <f>D12*(1+'Tenure Split (WALES)'!D$118)</f>
        <v>96885.36634283021</v>
      </c>
      <c r="F12" s="59">
        <f>E12*(1+'Tenure Split (WALES)'!E$118)</f>
        <v>98970.763787190648</v>
      </c>
      <c r="G12" s="59">
        <f>F12*(1+'Tenure Split (WALES)'!F$118)</f>
        <v>102830.54128278558</v>
      </c>
      <c r="H12" s="60">
        <f>G12*(1+'Tenure Split (WALES)'!G$118)</f>
        <v>107095.94431003675</v>
      </c>
      <c r="L12" s="64" t="str">
        <f t="shared" si="0"/>
        <v/>
      </c>
      <c r="M12" s="264"/>
      <c r="N12" s="14">
        <f t="shared" si="3"/>
        <v>1</v>
      </c>
      <c r="T12" s="1">
        <f t="shared" si="1"/>
        <v>18</v>
      </c>
      <c r="U12" s="4" t="str">
        <f t="shared" si="2"/>
        <v/>
      </c>
      <c r="V12" s="4" t="e">
        <f>IF($V$3=$M$3,M12,U12*(1+'Tenure Split (WALES)'!C$118))</f>
        <v>#VALUE!</v>
      </c>
      <c r="W12" s="4" t="e">
        <f>V12*(1+'Tenure Split (WALES)'!D$118)</f>
        <v>#VALUE!</v>
      </c>
      <c r="X12" s="4" t="e">
        <f>W12*(1+'Tenure Split (WALES)'!E$118)</f>
        <v>#VALUE!</v>
      </c>
      <c r="Y12" s="4" t="e">
        <f>X12*(1+'Tenure Split (WALES)'!F$118)</f>
        <v>#VALUE!</v>
      </c>
      <c r="Z12" s="4" t="e">
        <f>Y12*(1+'Tenure Split (WALES)'!G$118)</f>
        <v>#VALUE!</v>
      </c>
      <c r="AB12" s="1">
        <v>18</v>
      </c>
      <c r="AC12" s="4">
        <f>IF('Tenure Split (WALES)'!$D$18="Land Registry Data",'House Prices (Wales)'!D12,'House Prices (Wales)'!V12)</f>
        <v>96670.125017550876</v>
      </c>
      <c r="AD12" s="4">
        <f>IF('Tenure Split (WALES)'!$D$18="Land Registry Data",'House Prices (Wales)'!E12,'House Prices (Wales)'!W12)</f>
        <v>96885.36634283021</v>
      </c>
      <c r="AE12" s="4">
        <f>IF('Tenure Split (WALES)'!$D$18="Land Registry Data",'House Prices (Wales)'!F12,'House Prices (Wales)'!X12)</f>
        <v>98970.763787190648</v>
      </c>
      <c r="AF12" s="4">
        <f>IF('Tenure Split (WALES)'!$D$18="Land Registry Data",'House Prices (Wales)'!G12,'House Prices (Wales)'!Y12)</f>
        <v>102830.54128278558</v>
      </c>
      <c r="AG12" s="4">
        <f>IF('Tenure Split (WALES)'!$D$18="Land Registry Data",'House Prices (Wales)'!H12,'House Prices (Wales)'!Z12)</f>
        <v>107095.94431003675</v>
      </c>
    </row>
    <row r="13" spans="2:33" x14ac:dyDescent="0.25">
      <c r="B13" s="20">
        <v>19</v>
      </c>
      <c r="C13" s="58">
        <v>95000</v>
      </c>
      <c r="D13" s="59">
        <f>C13*(1+'Tenure Split (WALES)'!C$118)</f>
        <v>97698.530602843966</v>
      </c>
      <c r="E13" s="59">
        <f>D13*(1+'Tenure Split (WALES)'!D$118)</f>
        <v>97916.061729456065</v>
      </c>
      <c r="F13" s="59">
        <f>E13*(1+'Tenure Split (WALES)'!E$118)</f>
        <v>100023.64425301182</v>
      </c>
      <c r="G13" s="59">
        <f>F13*(1+'Tenure Split (WALES)'!F$118)</f>
        <v>103924.48321132585</v>
      </c>
      <c r="H13" s="60">
        <f>G13*(1+'Tenure Split (WALES)'!G$118)</f>
        <v>108235.26286652649</v>
      </c>
      <c r="L13" s="64" t="str">
        <f t="shared" si="0"/>
        <v/>
      </c>
      <c r="M13" s="264"/>
      <c r="N13" s="14">
        <f t="shared" si="3"/>
        <v>1</v>
      </c>
      <c r="T13" s="1">
        <f t="shared" si="1"/>
        <v>19</v>
      </c>
      <c r="U13" s="4" t="str">
        <f t="shared" si="2"/>
        <v/>
      </c>
      <c r="V13" s="4" t="e">
        <f>IF($V$3=$M$3,M13,U13*(1+'Tenure Split (WALES)'!C$118))</f>
        <v>#VALUE!</v>
      </c>
      <c r="W13" s="4" t="e">
        <f>V13*(1+'Tenure Split (WALES)'!D$118)</f>
        <v>#VALUE!</v>
      </c>
      <c r="X13" s="4" t="e">
        <f>W13*(1+'Tenure Split (WALES)'!E$118)</f>
        <v>#VALUE!</v>
      </c>
      <c r="Y13" s="4" t="e">
        <f>X13*(1+'Tenure Split (WALES)'!F$118)</f>
        <v>#VALUE!</v>
      </c>
      <c r="Z13" s="4" t="e">
        <f>Y13*(1+'Tenure Split (WALES)'!G$118)</f>
        <v>#VALUE!</v>
      </c>
      <c r="AB13" s="1">
        <v>19</v>
      </c>
      <c r="AC13" s="4">
        <f>IF('Tenure Split (WALES)'!$D$18="Land Registry Data",'House Prices (Wales)'!D13,'House Prices (Wales)'!V13)</f>
        <v>97698.530602843966</v>
      </c>
      <c r="AD13" s="4">
        <f>IF('Tenure Split (WALES)'!$D$18="Land Registry Data",'House Prices (Wales)'!E13,'House Prices (Wales)'!W13)</f>
        <v>97916.061729456065</v>
      </c>
      <c r="AE13" s="4">
        <f>IF('Tenure Split (WALES)'!$D$18="Land Registry Data",'House Prices (Wales)'!F13,'House Prices (Wales)'!X13)</f>
        <v>100023.64425301182</v>
      </c>
      <c r="AF13" s="4">
        <f>IF('Tenure Split (WALES)'!$D$18="Land Registry Data",'House Prices (Wales)'!G13,'House Prices (Wales)'!Y13)</f>
        <v>103924.48321132585</v>
      </c>
      <c r="AG13" s="4">
        <f>IF('Tenure Split (WALES)'!$D$18="Land Registry Data",'House Prices (Wales)'!H13,'House Prices (Wales)'!Z13)</f>
        <v>108235.26286652649</v>
      </c>
    </row>
    <row r="14" spans="2:33" x14ac:dyDescent="0.25">
      <c r="B14" s="20">
        <v>20</v>
      </c>
      <c r="C14" s="58">
        <v>97500</v>
      </c>
      <c r="D14" s="59">
        <f>C14*(1+'Tenure Split (WALES)'!C$118)</f>
        <v>100269.54456607671</v>
      </c>
      <c r="E14" s="59">
        <f>D14*(1+'Tenure Split (WALES)'!D$118)</f>
        <v>100492.80019602072</v>
      </c>
      <c r="F14" s="59">
        <f>E14*(1+'Tenure Split (WALES)'!E$118)</f>
        <v>102655.84541756478</v>
      </c>
      <c r="G14" s="59">
        <f>F14*(1+'Tenure Split (WALES)'!F$118)</f>
        <v>106659.33803267655</v>
      </c>
      <c r="H14" s="60">
        <f>G14*(1+'Tenure Split (WALES)'!G$118)</f>
        <v>111083.55925775091</v>
      </c>
      <c r="L14" s="64" t="str">
        <f t="shared" si="0"/>
        <v/>
      </c>
      <c r="M14" s="264"/>
      <c r="N14" s="14">
        <f t="shared" si="3"/>
        <v>1</v>
      </c>
      <c r="T14" s="1">
        <f t="shared" si="1"/>
        <v>20</v>
      </c>
      <c r="U14" s="4" t="str">
        <f t="shared" si="2"/>
        <v/>
      </c>
      <c r="V14" s="4" t="e">
        <f>IF($V$3=$M$3,M14,U14*(1+'Tenure Split (WALES)'!C$118))</f>
        <v>#VALUE!</v>
      </c>
      <c r="W14" s="4" t="e">
        <f>V14*(1+'Tenure Split (WALES)'!D$118)</f>
        <v>#VALUE!</v>
      </c>
      <c r="X14" s="4" t="e">
        <f>W14*(1+'Tenure Split (WALES)'!E$118)</f>
        <v>#VALUE!</v>
      </c>
      <c r="Y14" s="4" t="e">
        <f>X14*(1+'Tenure Split (WALES)'!F$118)</f>
        <v>#VALUE!</v>
      </c>
      <c r="Z14" s="4" t="e">
        <f>Y14*(1+'Tenure Split (WALES)'!G$118)</f>
        <v>#VALUE!</v>
      </c>
      <c r="AB14" s="1">
        <v>20</v>
      </c>
      <c r="AC14" s="4">
        <f>IF('Tenure Split (WALES)'!$D$18="Land Registry Data",'House Prices (Wales)'!D14,'House Prices (Wales)'!V14)</f>
        <v>100269.54456607671</v>
      </c>
      <c r="AD14" s="4">
        <f>IF('Tenure Split (WALES)'!$D$18="Land Registry Data",'House Prices (Wales)'!E14,'House Prices (Wales)'!W14)</f>
        <v>100492.80019602072</v>
      </c>
      <c r="AE14" s="4">
        <f>IF('Tenure Split (WALES)'!$D$18="Land Registry Data",'House Prices (Wales)'!F14,'House Prices (Wales)'!X14)</f>
        <v>102655.84541756478</v>
      </c>
      <c r="AF14" s="4">
        <f>IF('Tenure Split (WALES)'!$D$18="Land Registry Data",'House Prices (Wales)'!G14,'House Prices (Wales)'!Y14)</f>
        <v>106659.33803267655</v>
      </c>
      <c r="AG14" s="4">
        <f>IF('Tenure Split (WALES)'!$D$18="Land Registry Data",'House Prices (Wales)'!H14,'House Prices (Wales)'!Z14)</f>
        <v>111083.55925775091</v>
      </c>
    </row>
    <row r="15" spans="2:33" x14ac:dyDescent="0.25">
      <c r="B15" s="20">
        <v>21</v>
      </c>
      <c r="C15" s="58">
        <v>100000</v>
      </c>
      <c r="D15" s="59">
        <f>C15*(1+'Tenure Split (WALES)'!C$118)</f>
        <v>102840.55852930945</v>
      </c>
      <c r="E15" s="59">
        <f>D15*(1+'Tenure Split (WALES)'!D$118)</f>
        <v>103069.53866258534</v>
      </c>
      <c r="F15" s="59">
        <f>E15*(1+'Tenure Split (WALES)'!E$118)</f>
        <v>105288.04658211772</v>
      </c>
      <c r="G15" s="59">
        <f>F15*(1+'Tenure Split (WALES)'!F$118)</f>
        <v>109394.19285402722</v>
      </c>
      <c r="H15" s="60">
        <f>G15*(1+'Tenure Split (WALES)'!G$118)</f>
        <v>113931.85564897528</v>
      </c>
      <c r="L15" s="64" t="str">
        <f t="shared" si="0"/>
        <v/>
      </c>
      <c r="M15" s="264"/>
      <c r="N15" s="14">
        <f t="shared" si="3"/>
        <v>1</v>
      </c>
      <c r="T15" s="1">
        <f t="shared" si="1"/>
        <v>21</v>
      </c>
      <c r="U15" s="4" t="str">
        <f t="shared" si="2"/>
        <v/>
      </c>
      <c r="V15" s="4" t="e">
        <f>IF($V$3=$M$3,M15,U15*(1+'Tenure Split (WALES)'!C$118))</f>
        <v>#VALUE!</v>
      </c>
      <c r="W15" s="4" t="e">
        <f>V15*(1+'Tenure Split (WALES)'!D$118)</f>
        <v>#VALUE!</v>
      </c>
      <c r="X15" s="4" t="e">
        <f>W15*(1+'Tenure Split (WALES)'!E$118)</f>
        <v>#VALUE!</v>
      </c>
      <c r="Y15" s="4" t="e">
        <f>X15*(1+'Tenure Split (WALES)'!F$118)</f>
        <v>#VALUE!</v>
      </c>
      <c r="Z15" s="4" t="e">
        <f>Y15*(1+'Tenure Split (WALES)'!G$118)</f>
        <v>#VALUE!</v>
      </c>
      <c r="AB15" s="1">
        <v>21</v>
      </c>
      <c r="AC15" s="4">
        <f>IF('Tenure Split (WALES)'!$D$18="Land Registry Data",'House Prices (Wales)'!D15,'House Prices (Wales)'!V15)</f>
        <v>102840.55852930945</v>
      </c>
      <c r="AD15" s="4">
        <f>IF('Tenure Split (WALES)'!$D$18="Land Registry Data",'House Prices (Wales)'!E15,'House Prices (Wales)'!W15)</f>
        <v>103069.53866258534</v>
      </c>
      <c r="AE15" s="4">
        <f>IF('Tenure Split (WALES)'!$D$18="Land Registry Data",'House Prices (Wales)'!F15,'House Prices (Wales)'!X15)</f>
        <v>105288.04658211772</v>
      </c>
      <c r="AF15" s="4">
        <f>IF('Tenure Split (WALES)'!$D$18="Land Registry Data",'House Prices (Wales)'!G15,'House Prices (Wales)'!Y15)</f>
        <v>109394.19285402722</v>
      </c>
      <c r="AG15" s="4">
        <f>IF('Tenure Split (WALES)'!$D$18="Land Registry Data",'House Prices (Wales)'!H15,'House Prices (Wales)'!Z15)</f>
        <v>113931.85564897528</v>
      </c>
    </row>
    <row r="16" spans="2:33" x14ac:dyDescent="0.25">
      <c r="B16" s="20">
        <v>22</v>
      </c>
      <c r="C16" s="58">
        <v>101500</v>
      </c>
      <c r="D16" s="59">
        <f>C16*(1+'Tenure Split (WALES)'!C$118)</f>
        <v>104383.16690724909</v>
      </c>
      <c r="E16" s="59">
        <f>D16*(1+'Tenure Split (WALES)'!D$118)</f>
        <v>104615.58174252413</v>
      </c>
      <c r="F16" s="59">
        <f>E16*(1+'Tenure Split (WALES)'!E$118)</f>
        <v>106867.36728084949</v>
      </c>
      <c r="G16" s="59">
        <f>F16*(1+'Tenure Split (WALES)'!F$118)</f>
        <v>111035.10574683764</v>
      </c>
      <c r="H16" s="60">
        <f>G16*(1+'Tenure Split (WALES)'!G$118)</f>
        <v>115640.83348370991</v>
      </c>
      <c r="L16" s="64" t="str">
        <f t="shared" si="0"/>
        <v/>
      </c>
      <c r="M16" s="264"/>
      <c r="N16" s="14">
        <f t="shared" si="3"/>
        <v>1</v>
      </c>
      <c r="T16" s="1">
        <f t="shared" si="1"/>
        <v>22</v>
      </c>
      <c r="U16" s="4" t="str">
        <f t="shared" si="2"/>
        <v/>
      </c>
      <c r="V16" s="4" t="e">
        <f>IF($V$3=$M$3,M16,U16*(1+'Tenure Split (WALES)'!C$118))</f>
        <v>#VALUE!</v>
      </c>
      <c r="W16" s="4" t="e">
        <f>V16*(1+'Tenure Split (WALES)'!D$118)</f>
        <v>#VALUE!</v>
      </c>
      <c r="X16" s="4" t="e">
        <f>W16*(1+'Tenure Split (WALES)'!E$118)</f>
        <v>#VALUE!</v>
      </c>
      <c r="Y16" s="4" t="e">
        <f>X16*(1+'Tenure Split (WALES)'!F$118)</f>
        <v>#VALUE!</v>
      </c>
      <c r="Z16" s="4" t="e">
        <f>Y16*(1+'Tenure Split (WALES)'!G$118)</f>
        <v>#VALUE!</v>
      </c>
      <c r="AB16" s="1">
        <v>22</v>
      </c>
      <c r="AC16" s="4">
        <f>IF('Tenure Split (WALES)'!$D$18="Land Registry Data",'House Prices (Wales)'!D16,'House Prices (Wales)'!V16)</f>
        <v>104383.16690724909</v>
      </c>
      <c r="AD16" s="4">
        <f>IF('Tenure Split (WALES)'!$D$18="Land Registry Data",'House Prices (Wales)'!E16,'House Prices (Wales)'!W16)</f>
        <v>104615.58174252413</v>
      </c>
      <c r="AE16" s="4">
        <f>IF('Tenure Split (WALES)'!$D$18="Land Registry Data",'House Prices (Wales)'!F16,'House Prices (Wales)'!X16)</f>
        <v>106867.36728084949</v>
      </c>
      <c r="AF16" s="4">
        <f>IF('Tenure Split (WALES)'!$D$18="Land Registry Data",'House Prices (Wales)'!G16,'House Prices (Wales)'!Y16)</f>
        <v>111035.10574683764</v>
      </c>
      <c r="AG16" s="4">
        <f>IF('Tenure Split (WALES)'!$D$18="Land Registry Data",'House Prices (Wales)'!H16,'House Prices (Wales)'!Z16)</f>
        <v>115640.83348370991</v>
      </c>
    </row>
    <row r="17" spans="2:33" x14ac:dyDescent="0.25">
      <c r="B17" s="20">
        <v>23</v>
      </c>
      <c r="C17" s="58">
        <v>104995</v>
      </c>
      <c r="D17" s="59">
        <f>C17*(1+'Tenure Split (WALES)'!C$118)</f>
        <v>107977.44442784846</v>
      </c>
      <c r="E17" s="59">
        <f>D17*(1+'Tenure Split (WALES)'!D$118)</f>
        <v>108217.86211878149</v>
      </c>
      <c r="F17" s="59">
        <f>E17*(1+'Tenure Split (WALES)'!E$118)</f>
        <v>110547.1845088945</v>
      </c>
      <c r="G17" s="59">
        <f>F17*(1+'Tenure Split (WALES)'!F$118)</f>
        <v>114858.43278708588</v>
      </c>
      <c r="H17" s="60">
        <f>G17*(1+'Tenure Split (WALES)'!G$118)</f>
        <v>119622.75183864159</v>
      </c>
      <c r="L17" s="64" t="str">
        <f t="shared" si="0"/>
        <v/>
      </c>
      <c r="M17" s="264"/>
      <c r="N17" s="14">
        <f t="shared" si="3"/>
        <v>1</v>
      </c>
      <c r="T17" s="1">
        <f t="shared" si="1"/>
        <v>23</v>
      </c>
      <c r="U17" s="4" t="str">
        <f t="shared" si="2"/>
        <v/>
      </c>
      <c r="V17" s="4" t="e">
        <f>IF($V$3=$M$3,M17,U17*(1+'Tenure Split (WALES)'!C$118))</f>
        <v>#VALUE!</v>
      </c>
      <c r="W17" s="4" t="e">
        <f>V17*(1+'Tenure Split (WALES)'!D$118)</f>
        <v>#VALUE!</v>
      </c>
      <c r="X17" s="4" t="e">
        <f>W17*(1+'Tenure Split (WALES)'!E$118)</f>
        <v>#VALUE!</v>
      </c>
      <c r="Y17" s="4" t="e">
        <f>X17*(1+'Tenure Split (WALES)'!F$118)</f>
        <v>#VALUE!</v>
      </c>
      <c r="Z17" s="4" t="e">
        <f>Y17*(1+'Tenure Split (WALES)'!G$118)</f>
        <v>#VALUE!</v>
      </c>
      <c r="AB17" s="1">
        <v>23</v>
      </c>
      <c r="AC17" s="4">
        <f>IF('Tenure Split (WALES)'!$D$18="Land Registry Data",'House Prices (Wales)'!D17,'House Prices (Wales)'!V17)</f>
        <v>107977.44442784846</v>
      </c>
      <c r="AD17" s="4">
        <f>IF('Tenure Split (WALES)'!$D$18="Land Registry Data",'House Prices (Wales)'!E17,'House Prices (Wales)'!W17)</f>
        <v>108217.86211878149</v>
      </c>
      <c r="AE17" s="4">
        <f>IF('Tenure Split (WALES)'!$D$18="Land Registry Data",'House Prices (Wales)'!F17,'House Prices (Wales)'!X17)</f>
        <v>110547.1845088945</v>
      </c>
      <c r="AF17" s="4">
        <f>IF('Tenure Split (WALES)'!$D$18="Land Registry Data",'House Prices (Wales)'!G17,'House Prices (Wales)'!Y17)</f>
        <v>114858.43278708588</v>
      </c>
      <c r="AG17" s="4">
        <f>IF('Tenure Split (WALES)'!$D$18="Land Registry Data",'House Prices (Wales)'!H17,'House Prices (Wales)'!Z17)</f>
        <v>119622.75183864159</v>
      </c>
    </row>
    <row r="18" spans="2:33" x14ac:dyDescent="0.25">
      <c r="B18" s="20">
        <v>24</v>
      </c>
      <c r="C18" s="58">
        <v>105000</v>
      </c>
      <c r="D18" s="59">
        <f>C18*(1+'Tenure Split (WALES)'!C$118)</f>
        <v>107982.58645577492</v>
      </c>
      <c r="E18" s="59">
        <f>D18*(1+'Tenure Split (WALES)'!D$118)</f>
        <v>108223.01559571461</v>
      </c>
      <c r="F18" s="59">
        <f>E18*(1+'Tenure Split (WALES)'!E$118)</f>
        <v>110552.4489112236</v>
      </c>
      <c r="G18" s="59">
        <f>F18*(1+'Tenure Split (WALES)'!F$118)</f>
        <v>114863.90249672858</v>
      </c>
      <c r="H18" s="60">
        <f>G18*(1+'Tenure Split (WALES)'!G$118)</f>
        <v>119628.44843142404</v>
      </c>
      <c r="L18" s="64" t="str">
        <f t="shared" si="0"/>
        <v/>
      </c>
      <c r="M18" s="264"/>
      <c r="N18" s="14">
        <f t="shared" si="3"/>
        <v>1</v>
      </c>
      <c r="T18" s="1">
        <f t="shared" si="1"/>
        <v>24</v>
      </c>
      <c r="U18" s="4" t="str">
        <f t="shared" si="2"/>
        <v/>
      </c>
      <c r="V18" s="4" t="e">
        <f>IF($V$3=$M$3,M18,U18*(1+'Tenure Split (WALES)'!C$118))</f>
        <v>#VALUE!</v>
      </c>
      <c r="W18" s="4" t="e">
        <f>V18*(1+'Tenure Split (WALES)'!D$118)</f>
        <v>#VALUE!</v>
      </c>
      <c r="X18" s="4" t="e">
        <f>W18*(1+'Tenure Split (WALES)'!E$118)</f>
        <v>#VALUE!</v>
      </c>
      <c r="Y18" s="4" t="e">
        <f>X18*(1+'Tenure Split (WALES)'!F$118)</f>
        <v>#VALUE!</v>
      </c>
      <c r="Z18" s="4" t="e">
        <f>Y18*(1+'Tenure Split (WALES)'!G$118)</f>
        <v>#VALUE!</v>
      </c>
      <c r="AB18" s="1">
        <v>24</v>
      </c>
      <c r="AC18" s="4">
        <f>IF('Tenure Split (WALES)'!$D$18="Land Registry Data",'House Prices (Wales)'!D18,'House Prices (Wales)'!V18)</f>
        <v>107982.58645577492</v>
      </c>
      <c r="AD18" s="4">
        <f>IF('Tenure Split (WALES)'!$D$18="Land Registry Data",'House Prices (Wales)'!E18,'House Prices (Wales)'!W18)</f>
        <v>108223.01559571461</v>
      </c>
      <c r="AE18" s="4">
        <f>IF('Tenure Split (WALES)'!$D$18="Land Registry Data",'House Prices (Wales)'!F18,'House Prices (Wales)'!X18)</f>
        <v>110552.4489112236</v>
      </c>
      <c r="AF18" s="4">
        <f>IF('Tenure Split (WALES)'!$D$18="Land Registry Data",'House Prices (Wales)'!G18,'House Prices (Wales)'!Y18)</f>
        <v>114863.90249672858</v>
      </c>
      <c r="AG18" s="4">
        <f>IF('Tenure Split (WALES)'!$D$18="Land Registry Data",'House Prices (Wales)'!H18,'House Prices (Wales)'!Z18)</f>
        <v>119628.44843142404</v>
      </c>
    </row>
    <row r="19" spans="2:33" x14ac:dyDescent="0.25">
      <c r="B19" s="20">
        <v>25</v>
      </c>
      <c r="C19" s="58">
        <v>108000</v>
      </c>
      <c r="D19" s="59">
        <f>C19*(1+'Tenure Split (WALES)'!C$118)</f>
        <v>111067.8032116542</v>
      </c>
      <c r="E19" s="59">
        <f>D19*(1+'Tenure Split (WALES)'!D$118)</f>
        <v>111315.10175559217</v>
      </c>
      <c r="F19" s="59">
        <f>E19*(1+'Tenure Split (WALES)'!E$118)</f>
        <v>113711.09030868714</v>
      </c>
      <c r="G19" s="59">
        <f>F19*(1+'Tenure Split (WALES)'!F$118)</f>
        <v>118145.7282823494</v>
      </c>
      <c r="H19" s="60">
        <f>G19*(1+'Tenure Split (WALES)'!G$118)</f>
        <v>123046.4041008933</v>
      </c>
      <c r="L19" s="64" t="str">
        <f t="shared" si="0"/>
        <v/>
      </c>
      <c r="M19" s="264"/>
      <c r="N19" s="14">
        <f t="shared" si="3"/>
        <v>1</v>
      </c>
      <c r="T19" s="1">
        <f t="shared" si="1"/>
        <v>25</v>
      </c>
      <c r="U19" s="4" t="str">
        <f t="shared" si="2"/>
        <v/>
      </c>
      <c r="V19" s="4" t="e">
        <f>IF($V$3=$M$3,M19,U19*(1+'Tenure Split (WALES)'!C$118))</f>
        <v>#VALUE!</v>
      </c>
      <c r="W19" s="4" t="e">
        <f>V19*(1+'Tenure Split (WALES)'!D$118)</f>
        <v>#VALUE!</v>
      </c>
      <c r="X19" s="4" t="e">
        <f>W19*(1+'Tenure Split (WALES)'!E$118)</f>
        <v>#VALUE!</v>
      </c>
      <c r="Y19" s="4" t="e">
        <f>X19*(1+'Tenure Split (WALES)'!F$118)</f>
        <v>#VALUE!</v>
      </c>
      <c r="Z19" s="4" t="e">
        <f>Y19*(1+'Tenure Split (WALES)'!G$118)</f>
        <v>#VALUE!</v>
      </c>
      <c r="AB19" s="1">
        <v>25</v>
      </c>
      <c r="AC19" s="4">
        <f>IF('Tenure Split (WALES)'!$D$18="Land Registry Data",'House Prices (Wales)'!D19,'House Prices (Wales)'!V19)</f>
        <v>111067.8032116542</v>
      </c>
      <c r="AD19" s="4">
        <f>IF('Tenure Split (WALES)'!$D$18="Land Registry Data",'House Prices (Wales)'!E19,'House Prices (Wales)'!W19)</f>
        <v>111315.10175559217</v>
      </c>
      <c r="AE19" s="4">
        <f>IF('Tenure Split (WALES)'!$D$18="Land Registry Data",'House Prices (Wales)'!F19,'House Prices (Wales)'!X19)</f>
        <v>113711.09030868714</v>
      </c>
      <c r="AF19" s="4">
        <f>IF('Tenure Split (WALES)'!$D$18="Land Registry Data",'House Prices (Wales)'!G19,'House Prices (Wales)'!Y19)</f>
        <v>118145.7282823494</v>
      </c>
      <c r="AG19" s="4">
        <f>IF('Tenure Split (WALES)'!$D$18="Land Registry Data",'House Prices (Wales)'!H19,'House Prices (Wales)'!Z19)</f>
        <v>123046.4041008933</v>
      </c>
    </row>
    <row r="20" spans="2:33" x14ac:dyDescent="0.25">
      <c r="B20" s="20">
        <v>26</v>
      </c>
      <c r="C20" s="58">
        <v>110000</v>
      </c>
      <c r="D20" s="59">
        <f>C20*(1+'Tenure Split (WALES)'!C$118)</f>
        <v>113124.61438224038</v>
      </c>
      <c r="E20" s="59">
        <f>D20*(1+'Tenure Split (WALES)'!D$118)</f>
        <v>113376.49252884387</v>
      </c>
      <c r="F20" s="59">
        <f>E20*(1+'Tenure Split (WALES)'!E$118)</f>
        <v>115816.85124032947</v>
      </c>
      <c r="G20" s="59">
        <f>F20*(1+'Tenure Split (WALES)'!F$118)</f>
        <v>120333.61213942993</v>
      </c>
      <c r="H20" s="60">
        <f>G20*(1+'Tenure Split (WALES)'!G$118)</f>
        <v>125325.04121387278</v>
      </c>
      <c r="L20" s="64" t="str">
        <f t="shared" si="0"/>
        <v/>
      </c>
      <c r="M20" s="264"/>
      <c r="N20" s="14">
        <f t="shared" si="3"/>
        <v>1</v>
      </c>
      <c r="T20" s="1">
        <f t="shared" si="1"/>
        <v>26</v>
      </c>
      <c r="U20" s="4" t="str">
        <f t="shared" si="2"/>
        <v/>
      </c>
      <c r="V20" s="4" t="e">
        <f>IF($V$3=$M$3,M20,U20*(1+'Tenure Split (WALES)'!C$118))</f>
        <v>#VALUE!</v>
      </c>
      <c r="W20" s="4" t="e">
        <f>V20*(1+'Tenure Split (WALES)'!D$118)</f>
        <v>#VALUE!</v>
      </c>
      <c r="X20" s="4" t="e">
        <f>W20*(1+'Tenure Split (WALES)'!E$118)</f>
        <v>#VALUE!</v>
      </c>
      <c r="Y20" s="4" t="e">
        <f>X20*(1+'Tenure Split (WALES)'!F$118)</f>
        <v>#VALUE!</v>
      </c>
      <c r="Z20" s="4" t="e">
        <f>Y20*(1+'Tenure Split (WALES)'!G$118)</f>
        <v>#VALUE!</v>
      </c>
      <c r="AB20" s="1">
        <v>26</v>
      </c>
      <c r="AC20" s="4">
        <f>IF('Tenure Split (WALES)'!$D$18="Land Registry Data",'House Prices (Wales)'!D20,'House Prices (Wales)'!V20)</f>
        <v>113124.61438224038</v>
      </c>
      <c r="AD20" s="4">
        <f>IF('Tenure Split (WALES)'!$D$18="Land Registry Data",'House Prices (Wales)'!E20,'House Prices (Wales)'!W20)</f>
        <v>113376.49252884387</v>
      </c>
      <c r="AE20" s="4">
        <f>IF('Tenure Split (WALES)'!$D$18="Land Registry Data",'House Prices (Wales)'!F20,'House Prices (Wales)'!X20)</f>
        <v>115816.85124032947</v>
      </c>
      <c r="AF20" s="4">
        <f>IF('Tenure Split (WALES)'!$D$18="Land Registry Data",'House Prices (Wales)'!G20,'House Prices (Wales)'!Y20)</f>
        <v>120333.61213942993</v>
      </c>
      <c r="AG20" s="4">
        <f>IF('Tenure Split (WALES)'!$D$18="Land Registry Data",'House Prices (Wales)'!H20,'House Prices (Wales)'!Z20)</f>
        <v>125325.04121387278</v>
      </c>
    </row>
    <row r="21" spans="2:33" x14ac:dyDescent="0.25">
      <c r="B21" s="20">
        <v>27</v>
      </c>
      <c r="C21" s="58">
        <v>111000</v>
      </c>
      <c r="D21" s="59">
        <f>C21*(1+'Tenure Split (WALES)'!C$118)</f>
        <v>114153.01996753349</v>
      </c>
      <c r="E21" s="59">
        <f>D21*(1+'Tenure Split (WALES)'!D$118)</f>
        <v>114407.18791546972</v>
      </c>
      <c r="F21" s="59">
        <f>E21*(1+'Tenure Split (WALES)'!E$118)</f>
        <v>116869.73170615066</v>
      </c>
      <c r="G21" s="59">
        <f>F21*(1+'Tenure Split (WALES)'!F$118)</f>
        <v>121427.55406797021</v>
      </c>
      <c r="H21" s="60">
        <f>G21*(1+'Tenure Split (WALES)'!G$118)</f>
        <v>126464.35977036256</v>
      </c>
      <c r="L21" s="64" t="str">
        <f t="shared" si="0"/>
        <v/>
      </c>
      <c r="M21" s="264"/>
      <c r="N21" s="14">
        <f t="shared" si="3"/>
        <v>1</v>
      </c>
      <c r="T21" s="1">
        <f t="shared" si="1"/>
        <v>27</v>
      </c>
      <c r="U21" s="4" t="str">
        <f t="shared" si="2"/>
        <v/>
      </c>
      <c r="V21" s="4" t="e">
        <f>IF($V$3=$M$3,M21,U21*(1+'Tenure Split (WALES)'!C$118))</f>
        <v>#VALUE!</v>
      </c>
      <c r="W21" s="4" t="e">
        <f>V21*(1+'Tenure Split (WALES)'!D$118)</f>
        <v>#VALUE!</v>
      </c>
      <c r="X21" s="4" t="e">
        <f>W21*(1+'Tenure Split (WALES)'!E$118)</f>
        <v>#VALUE!</v>
      </c>
      <c r="Y21" s="4" t="e">
        <f>X21*(1+'Tenure Split (WALES)'!F$118)</f>
        <v>#VALUE!</v>
      </c>
      <c r="Z21" s="4" t="e">
        <f>Y21*(1+'Tenure Split (WALES)'!G$118)</f>
        <v>#VALUE!</v>
      </c>
      <c r="AB21" s="1">
        <v>27</v>
      </c>
      <c r="AC21" s="4">
        <f>IF('Tenure Split (WALES)'!$D$18="Land Registry Data",'House Prices (Wales)'!D21,'House Prices (Wales)'!V21)</f>
        <v>114153.01996753349</v>
      </c>
      <c r="AD21" s="4">
        <f>IF('Tenure Split (WALES)'!$D$18="Land Registry Data",'House Prices (Wales)'!E21,'House Prices (Wales)'!W21)</f>
        <v>114407.18791546972</v>
      </c>
      <c r="AE21" s="4">
        <f>IF('Tenure Split (WALES)'!$D$18="Land Registry Data",'House Prices (Wales)'!F21,'House Prices (Wales)'!X21)</f>
        <v>116869.73170615066</v>
      </c>
      <c r="AF21" s="4">
        <f>IF('Tenure Split (WALES)'!$D$18="Land Registry Data",'House Prices (Wales)'!G21,'House Prices (Wales)'!Y21)</f>
        <v>121427.55406797021</v>
      </c>
      <c r="AG21" s="4">
        <f>IF('Tenure Split (WALES)'!$D$18="Land Registry Data",'House Prices (Wales)'!H21,'House Prices (Wales)'!Z21)</f>
        <v>126464.35977036256</v>
      </c>
    </row>
    <row r="22" spans="2:33" x14ac:dyDescent="0.25">
      <c r="B22" s="20">
        <v>28</v>
      </c>
      <c r="C22" s="58">
        <v>114000</v>
      </c>
      <c r="D22" s="59">
        <f>C22*(1+'Tenure Split (WALES)'!C$118)</f>
        <v>117238.23672341277</v>
      </c>
      <c r="E22" s="59">
        <f>D22*(1+'Tenure Split (WALES)'!D$118)</f>
        <v>117499.27407534729</v>
      </c>
      <c r="F22" s="59">
        <f>E22*(1+'Tenure Split (WALES)'!E$118)</f>
        <v>120028.3731036142</v>
      </c>
      <c r="G22" s="59">
        <f>F22*(1+'Tenure Split (WALES)'!F$118)</f>
        <v>124709.37985359103</v>
      </c>
      <c r="H22" s="60">
        <f>G22*(1+'Tenure Split (WALES)'!G$118)</f>
        <v>129882.31543983181</v>
      </c>
      <c r="L22" s="64" t="str">
        <f t="shared" si="0"/>
        <v/>
      </c>
      <c r="M22" s="264"/>
      <c r="N22" s="14">
        <f t="shared" si="3"/>
        <v>1</v>
      </c>
      <c r="T22" s="1">
        <f t="shared" si="1"/>
        <v>28</v>
      </c>
      <c r="U22" s="4" t="str">
        <f t="shared" si="2"/>
        <v/>
      </c>
      <c r="V22" s="4" t="e">
        <f>IF($V$3=$M$3,M22,U22*(1+'Tenure Split (WALES)'!C$118))</f>
        <v>#VALUE!</v>
      </c>
      <c r="W22" s="4" t="e">
        <f>V22*(1+'Tenure Split (WALES)'!D$118)</f>
        <v>#VALUE!</v>
      </c>
      <c r="X22" s="4" t="e">
        <f>W22*(1+'Tenure Split (WALES)'!E$118)</f>
        <v>#VALUE!</v>
      </c>
      <c r="Y22" s="4" t="e">
        <f>X22*(1+'Tenure Split (WALES)'!F$118)</f>
        <v>#VALUE!</v>
      </c>
      <c r="Z22" s="4" t="e">
        <f>Y22*(1+'Tenure Split (WALES)'!G$118)</f>
        <v>#VALUE!</v>
      </c>
      <c r="AB22" s="1">
        <v>28</v>
      </c>
      <c r="AC22" s="4">
        <f>IF('Tenure Split (WALES)'!$D$18="Land Registry Data",'House Prices (Wales)'!D22,'House Prices (Wales)'!V22)</f>
        <v>117238.23672341277</v>
      </c>
      <c r="AD22" s="4">
        <f>IF('Tenure Split (WALES)'!$D$18="Land Registry Data",'House Prices (Wales)'!E22,'House Prices (Wales)'!W22)</f>
        <v>117499.27407534729</v>
      </c>
      <c r="AE22" s="4">
        <f>IF('Tenure Split (WALES)'!$D$18="Land Registry Data",'House Prices (Wales)'!F22,'House Prices (Wales)'!X22)</f>
        <v>120028.3731036142</v>
      </c>
      <c r="AF22" s="4">
        <f>IF('Tenure Split (WALES)'!$D$18="Land Registry Data",'House Prices (Wales)'!G22,'House Prices (Wales)'!Y22)</f>
        <v>124709.37985359103</v>
      </c>
      <c r="AG22" s="4">
        <f>IF('Tenure Split (WALES)'!$D$18="Land Registry Data",'House Prices (Wales)'!H22,'House Prices (Wales)'!Z22)</f>
        <v>129882.31543983181</v>
      </c>
    </row>
    <row r="23" spans="2:33" x14ac:dyDescent="0.25">
      <c r="B23" s="20">
        <v>29</v>
      </c>
      <c r="C23" s="58">
        <v>115000</v>
      </c>
      <c r="D23" s="59">
        <f>C23*(1+'Tenure Split (WALES)'!C$118)</f>
        <v>118266.64230870586</v>
      </c>
      <c r="E23" s="59">
        <f>D23*(1+'Tenure Split (WALES)'!D$118)</f>
        <v>118529.96946197315</v>
      </c>
      <c r="F23" s="59">
        <f>E23*(1+'Tenure Split (WALES)'!E$118)</f>
        <v>121081.25356943537</v>
      </c>
      <c r="G23" s="59">
        <f>F23*(1+'Tenure Split (WALES)'!F$118)</f>
        <v>125803.3217821313</v>
      </c>
      <c r="H23" s="60">
        <f>G23*(1+'Tenure Split (WALES)'!G$118)</f>
        <v>131021.63399632157</v>
      </c>
      <c r="L23" s="64" t="str">
        <f t="shared" si="0"/>
        <v/>
      </c>
      <c r="M23" s="264"/>
      <c r="N23" s="14">
        <f t="shared" si="3"/>
        <v>1</v>
      </c>
      <c r="T23" s="1">
        <f t="shared" si="1"/>
        <v>29</v>
      </c>
      <c r="U23" s="4" t="str">
        <f t="shared" si="2"/>
        <v/>
      </c>
      <c r="V23" s="4" t="e">
        <f>IF($V$3=$M$3,M23,U23*(1+'Tenure Split (WALES)'!C$118))</f>
        <v>#VALUE!</v>
      </c>
      <c r="W23" s="4" t="e">
        <f>V23*(1+'Tenure Split (WALES)'!D$118)</f>
        <v>#VALUE!</v>
      </c>
      <c r="X23" s="4" t="e">
        <f>W23*(1+'Tenure Split (WALES)'!E$118)</f>
        <v>#VALUE!</v>
      </c>
      <c r="Y23" s="4" t="e">
        <f>X23*(1+'Tenure Split (WALES)'!F$118)</f>
        <v>#VALUE!</v>
      </c>
      <c r="Z23" s="4" t="e">
        <f>Y23*(1+'Tenure Split (WALES)'!G$118)</f>
        <v>#VALUE!</v>
      </c>
      <c r="AB23" s="1">
        <v>29</v>
      </c>
      <c r="AC23" s="4">
        <f>IF('Tenure Split (WALES)'!$D$18="Land Registry Data",'House Prices (Wales)'!D23,'House Prices (Wales)'!V23)</f>
        <v>118266.64230870586</v>
      </c>
      <c r="AD23" s="4">
        <f>IF('Tenure Split (WALES)'!$D$18="Land Registry Data",'House Prices (Wales)'!E23,'House Prices (Wales)'!W23)</f>
        <v>118529.96946197315</v>
      </c>
      <c r="AE23" s="4">
        <f>IF('Tenure Split (WALES)'!$D$18="Land Registry Data",'House Prices (Wales)'!F23,'House Prices (Wales)'!X23)</f>
        <v>121081.25356943537</v>
      </c>
      <c r="AF23" s="4">
        <f>IF('Tenure Split (WALES)'!$D$18="Land Registry Data",'House Prices (Wales)'!G23,'House Prices (Wales)'!Y23)</f>
        <v>125803.3217821313</v>
      </c>
      <c r="AG23" s="4">
        <f>IF('Tenure Split (WALES)'!$D$18="Land Registry Data",'House Prices (Wales)'!H23,'House Prices (Wales)'!Z23)</f>
        <v>131021.63399632157</v>
      </c>
    </row>
    <row r="24" spans="2:33" x14ac:dyDescent="0.25">
      <c r="B24" s="20">
        <v>30</v>
      </c>
      <c r="C24" s="58">
        <v>117000</v>
      </c>
      <c r="D24" s="59">
        <f>C24*(1+'Tenure Split (WALES)'!C$118)</f>
        <v>120323.45347929205</v>
      </c>
      <c r="E24" s="59">
        <f>D24*(1+'Tenure Split (WALES)'!D$118)</f>
        <v>120591.36023522484</v>
      </c>
      <c r="F24" s="59">
        <f>E24*(1+'Tenure Split (WALES)'!E$118)</f>
        <v>123187.01450107772</v>
      </c>
      <c r="G24" s="59">
        <f>F24*(1+'Tenure Split (WALES)'!F$118)</f>
        <v>127991.20563921184</v>
      </c>
      <c r="H24" s="60">
        <f>G24*(1+'Tenure Split (WALES)'!G$118)</f>
        <v>133300.27110930107</v>
      </c>
      <c r="L24" s="64" t="str">
        <f t="shared" si="0"/>
        <v/>
      </c>
      <c r="M24" s="264"/>
      <c r="N24" s="14">
        <f t="shared" si="3"/>
        <v>1</v>
      </c>
      <c r="T24" s="1">
        <f t="shared" si="1"/>
        <v>30</v>
      </c>
      <c r="U24" s="4" t="str">
        <f t="shared" si="2"/>
        <v/>
      </c>
      <c r="V24" s="4" t="e">
        <f>IF($V$3=$M$3,M24,U24*(1+'Tenure Split (WALES)'!C$118))</f>
        <v>#VALUE!</v>
      </c>
      <c r="W24" s="4" t="e">
        <f>V24*(1+'Tenure Split (WALES)'!D$118)</f>
        <v>#VALUE!</v>
      </c>
      <c r="X24" s="4" t="e">
        <f>W24*(1+'Tenure Split (WALES)'!E$118)</f>
        <v>#VALUE!</v>
      </c>
      <c r="Y24" s="4" t="e">
        <f>X24*(1+'Tenure Split (WALES)'!F$118)</f>
        <v>#VALUE!</v>
      </c>
      <c r="Z24" s="4" t="e">
        <f>Y24*(1+'Tenure Split (WALES)'!G$118)</f>
        <v>#VALUE!</v>
      </c>
      <c r="AB24" s="1">
        <v>30</v>
      </c>
      <c r="AC24" s="4">
        <f>IF('Tenure Split (WALES)'!$D$18="Land Registry Data",'House Prices (Wales)'!D24,'House Prices (Wales)'!V24)</f>
        <v>120323.45347929205</v>
      </c>
      <c r="AD24" s="4">
        <f>IF('Tenure Split (WALES)'!$D$18="Land Registry Data",'House Prices (Wales)'!E24,'House Prices (Wales)'!W24)</f>
        <v>120591.36023522484</v>
      </c>
      <c r="AE24" s="4">
        <f>IF('Tenure Split (WALES)'!$D$18="Land Registry Data",'House Prices (Wales)'!F24,'House Prices (Wales)'!X24)</f>
        <v>123187.01450107772</v>
      </c>
      <c r="AF24" s="4">
        <f>IF('Tenure Split (WALES)'!$D$18="Land Registry Data",'House Prices (Wales)'!G24,'House Prices (Wales)'!Y24)</f>
        <v>127991.20563921184</v>
      </c>
      <c r="AG24" s="4">
        <f>IF('Tenure Split (WALES)'!$D$18="Land Registry Data",'House Prices (Wales)'!H24,'House Prices (Wales)'!Z24)</f>
        <v>133300.27110930107</v>
      </c>
    </row>
    <row r="25" spans="2:33" x14ac:dyDescent="0.25">
      <c r="B25" s="20">
        <v>31</v>
      </c>
      <c r="C25" s="58">
        <v>118950</v>
      </c>
      <c r="D25" s="59">
        <f>C25*(1+'Tenure Split (WALES)'!C$118)</f>
        <v>122328.84437061359</v>
      </c>
      <c r="E25" s="59">
        <f>D25*(1+'Tenure Split (WALES)'!D$118)</f>
        <v>122601.21623914526</v>
      </c>
      <c r="F25" s="59">
        <f>E25*(1+'Tenure Split (WALES)'!E$118)</f>
        <v>125240.13140942901</v>
      </c>
      <c r="G25" s="59">
        <f>F25*(1+'Tenure Split (WALES)'!F$118)</f>
        <v>130124.39239986536</v>
      </c>
      <c r="H25" s="60">
        <f>G25*(1+'Tenure Split (WALES)'!G$118)</f>
        <v>135521.94229445606</v>
      </c>
      <c r="L25" s="64" t="str">
        <f t="shared" si="0"/>
        <v/>
      </c>
      <c r="M25" s="264"/>
      <c r="N25" s="14">
        <f t="shared" si="3"/>
        <v>1</v>
      </c>
      <c r="T25" s="1">
        <f t="shared" si="1"/>
        <v>31</v>
      </c>
      <c r="U25" s="4" t="str">
        <f t="shared" si="2"/>
        <v/>
      </c>
      <c r="V25" s="4" t="e">
        <f>IF($V$3=$M$3,M25,U25*(1+'Tenure Split (WALES)'!C$118))</f>
        <v>#VALUE!</v>
      </c>
      <c r="W25" s="4" t="e">
        <f>V25*(1+'Tenure Split (WALES)'!D$118)</f>
        <v>#VALUE!</v>
      </c>
      <c r="X25" s="4" t="e">
        <f>W25*(1+'Tenure Split (WALES)'!E$118)</f>
        <v>#VALUE!</v>
      </c>
      <c r="Y25" s="4" t="e">
        <f>X25*(1+'Tenure Split (WALES)'!F$118)</f>
        <v>#VALUE!</v>
      </c>
      <c r="Z25" s="4" t="e">
        <f>Y25*(1+'Tenure Split (WALES)'!G$118)</f>
        <v>#VALUE!</v>
      </c>
      <c r="AB25" s="1">
        <v>31</v>
      </c>
      <c r="AC25" s="4">
        <f>IF('Tenure Split (WALES)'!$D$18="Land Registry Data",'House Prices (Wales)'!D25,'House Prices (Wales)'!V25)</f>
        <v>122328.84437061359</v>
      </c>
      <c r="AD25" s="4">
        <f>IF('Tenure Split (WALES)'!$D$18="Land Registry Data",'House Prices (Wales)'!E25,'House Prices (Wales)'!W25)</f>
        <v>122601.21623914526</v>
      </c>
      <c r="AE25" s="4">
        <f>IF('Tenure Split (WALES)'!$D$18="Land Registry Data",'House Prices (Wales)'!F25,'House Prices (Wales)'!X25)</f>
        <v>125240.13140942901</v>
      </c>
      <c r="AF25" s="4">
        <f>IF('Tenure Split (WALES)'!$D$18="Land Registry Data",'House Prices (Wales)'!G25,'House Prices (Wales)'!Y25)</f>
        <v>130124.39239986536</v>
      </c>
      <c r="AG25" s="4">
        <f>IF('Tenure Split (WALES)'!$D$18="Land Registry Data",'House Prices (Wales)'!H25,'House Prices (Wales)'!Z25)</f>
        <v>135521.94229445606</v>
      </c>
    </row>
    <row r="26" spans="2:33" x14ac:dyDescent="0.25">
      <c r="B26" s="20">
        <v>32</v>
      </c>
      <c r="C26" s="58">
        <v>120000</v>
      </c>
      <c r="D26" s="59">
        <f>C26*(1+'Tenure Split (WALES)'!C$118)</f>
        <v>123408.67023517133</v>
      </c>
      <c r="E26" s="59">
        <f>D26*(1+'Tenure Split (WALES)'!D$118)</f>
        <v>123683.44639510241</v>
      </c>
      <c r="F26" s="59">
        <f>E26*(1+'Tenure Split (WALES)'!E$118)</f>
        <v>126345.65589854126</v>
      </c>
      <c r="G26" s="59">
        <f>F26*(1+'Tenure Split (WALES)'!F$118)</f>
        <v>131273.03142483268</v>
      </c>
      <c r="H26" s="60">
        <f>G26*(1+'Tenure Split (WALES)'!G$118)</f>
        <v>136718.22677877033</v>
      </c>
      <c r="L26" s="64" t="str">
        <f t="shared" si="0"/>
        <v/>
      </c>
      <c r="M26" s="264"/>
      <c r="N26" s="14">
        <f t="shared" si="3"/>
        <v>1</v>
      </c>
      <c r="T26" s="1">
        <f t="shared" si="1"/>
        <v>32</v>
      </c>
      <c r="U26" s="4" t="str">
        <f t="shared" si="2"/>
        <v/>
      </c>
      <c r="V26" s="4" t="e">
        <f>IF($V$3=$M$3,M26,U26*(1+'Tenure Split (WALES)'!C$118))</f>
        <v>#VALUE!</v>
      </c>
      <c r="W26" s="4" t="e">
        <f>V26*(1+'Tenure Split (WALES)'!D$118)</f>
        <v>#VALUE!</v>
      </c>
      <c r="X26" s="4" t="e">
        <f>W26*(1+'Tenure Split (WALES)'!E$118)</f>
        <v>#VALUE!</v>
      </c>
      <c r="Y26" s="4" t="e">
        <f>X26*(1+'Tenure Split (WALES)'!F$118)</f>
        <v>#VALUE!</v>
      </c>
      <c r="Z26" s="4" t="e">
        <f>Y26*(1+'Tenure Split (WALES)'!G$118)</f>
        <v>#VALUE!</v>
      </c>
      <c r="AB26" s="1">
        <v>32</v>
      </c>
      <c r="AC26" s="4">
        <f>IF('Tenure Split (WALES)'!$D$18="Land Registry Data",'House Prices (Wales)'!D26,'House Prices (Wales)'!V26)</f>
        <v>123408.67023517133</v>
      </c>
      <c r="AD26" s="4">
        <f>IF('Tenure Split (WALES)'!$D$18="Land Registry Data",'House Prices (Wales)'!E26,'House Prices (Wales)'!W26)</f>
        <v>123683.44639510241</v>
      </c>
      <c r="AE26" s="4">
        <f>IF('Tenure Split (WALES)'!$D$18="Land Registry Data",'House Prices (Wales)'!F26,'House Prices (Wales)'!X26)</f>
        <v>126345.65589854126</v>
      </c>
      <c r="AF26" s="4">
        <f>IF('Tenure Split (WALES)'!$D$18="Land Registry Data",'House Prices (Wales)'!G26,'House Prices (Wales)'!Y26)</f>
        <v>131273.03142483268</v>
      </c>
      <c r="AG26" s="4">
        <f>IF('Tenure Split (WALES)'!$D$18="Land Registry Data",'House Prices (Wales)'!H26,'House Prices (Wales)'!Z26)</f>
        <v>136718.22677877033</v>
      </c>
    </row>
    <row r="27" spans="2:33" x14ac:dyDescent="0.25">
      <c r="B27" s="20">
        <v>33</v>
      </c>
      <c r="C27" s="58">
        <v>121000</v>
      </c>
      <c r="D27" s="59">
        <f>C27*(1+'Tenure Split (WALES)'!C$118)</f>
        <v>124437.07582046442</v>
      </c>
      <c r="E27" s="59">
        <f>D27*(1+'Tenure Split (WALES)'!D$118)</f>
        <v>124714.14178172825</v>
      </c>
      <c r="F27" s="59">
        <f>E27*(1+'Tenure Split (WALES)'!E$118)</f>
        <v>127398.53636436243</v>
      </c>
      <c r="G27" s="59">
        <f>F27*(1+'Tenure Split (WALES)'!F$118)</f>
        <v>132366.97335337292</v>
      </c>
      <c r="H27" s="60">
        <f>G27*(1+'Tenure Split (WALES)'!G$118)</f>
        <v>137857.54533526007</v>
      </c>
      <c r="L27" s="64" t="str">
        <f t="shared" si="0"/>
        <v/>
      </c>
      <c r="M27" s="264"/>
      <c r="N27" s="14">
        <f t="shared" si="3"/>
        <v>1</v>
      </c>
      <c r="T27" s="1">
        <f t="shared" si="1"/>
        <v>33</v>
      </c>
      <c r="U27" s="4" t="str">
        <f t="shared" si="2"/>
        <v/>
      </c>
      <c r="V27" s="4" t="e">
        <f>IF($V$3=$M$3,M27,U27*(1+'Tenure Split (WALES)'!C$118))</f>
        <v>#VALUE!</v>
      </c>
      <c r="W27" s="4" t="e">
        <f>V27*(1+'Tenure Split (WALES)'!D$118)</f>
        <v>#VALUE!</v>
      </c>
      <c r="X27" s="4" t="e">
        <f>W27*(1+'Tenure Split (WALES)'!E$118)</f>
        <v>#VALUE!</v>
      </c>
      <c r="Y27" s="4" t="e">
        <f>X27*(1+'Tenure Split (WALES)'!F$118)</f>
        <v>#VALUE!</v>
      </c>
      <c r="Z27" s="4" t="e">
        <f>Y27*(1+'Tenure Split (WALES)'!G$118)</f>
        <v>#VALUE!</v>
      </c>
      <c r="AB27" s="1">
        <v>33</v>
      </c>
      <c r="AC27" s="4">
        <f>IF('Tenure Split (WALES)'!$D$18="Land Registry Data",'House Prices (Wales)'!D27,'House Prices (Wales)'!V27)</f>
        <v>124437.07582046442</v>
      </c>
      <c r="AD27" s="4">
        <f>IF('Tenure Split (WALES)'!$D$18="Land Registry Data",'House Prices (Wales)'!E27,'House Prices (Wales)'!W27)</f>
        <v>124714.14178172825</v>
      </c>
      <c r="AE27" s="4">
        <f>IF('Tenure Split (WALES)'!$D$18="Land Registry Data",'House Prices (Wales)'!F27,'House Prices (Wales)'!X27)</f>
        <v>127398.53636436243</v>
      </c>
      <c r="AF27" s="4">
        <f>IF('Tenure Split (WALES)'!$D$18="Land Registry Data",'House Prices (Wales)'!G27,'House Prices (Wales)'!Y27)</f>
        <v>132366.97335337292</v>
      </c>
      <c r="AG27" s="4">
        <f>IF('Tenure Split (WALES)'!$D$18="Land Registry Data",'House Prices (Wales)'!H27,'House Prices (Wales)'!Z27)</f>
        <v>137857.54533526007</v>
      </c>
    </row>
    <row r="28" spans="2:33" x14ac:dyDescent="0.25">
      <c r="B28" s="20">
        <v>34</v>
      </c>
      <c r="C28" s="58">
        <v>123000</v>
      </c>
      <c r="D28" s="59">
        <f>C28*(1+'Tenure Split (WALES)'!C$118)</f>
        <v>126493.88699105062</v>
      </c>
      <c r="E28" s="59">
        <f>D28*(1+'Tenure Split (WALES)'!D$118)</f>
        <v>126775.53255497997</v>
      </c>
      <c r="F28" s="59">
        <f>E28*(1+'Tenure Split (WALES)'!E$118)</f>
        <v>129504.29729600479</v>
      </c>
      <c r="G28" s="59">
        <f>F28*(1+'Tenure Split (WALES)'!F$118)</f>
        <v>134554.85721045348</v>
      </c>
      <c r="H28" s="60">
        <f>G28*(1+'Tenure Split (WALES)'!G$118)</f>
        <v>140136.18244823959</v>
      </c>
      <c r="L28" s="64" t="str">
        <f t="shared" si="0"/>
        <v/>
      </c>
      <c r="M28" s="264"/>
      <c r="N28" s="14">
        <f t="shared" si="3"/>
        <v>1</v>
      </c>
      <c r="T28" s="1">
        <f t="shared" si="1"/>
        <v>34</v>
      </c>
      <c r="U28" s="4" t="str">
        <f t="shared" si="2"/>
        <v/>
      </c>
      <c r="V28" s="4" t="e">
        <f>IF($V$3=$M$3,M28,U28*(1+'Tenure Split (WALES)'!C$118))</f>
        <v>#VALUE!</v>
      </c>
      <c r="W28" s="4" t="e">
        <f>V28*(1+'Tenure Split (WALES)'!D$118)</f>
        <v>#VALUE!</v>
      </c>
      <c r="X28" s="4" t="e">
        <f>W28*(1+'Tenure Split (WALES)'!E$118)</f>
        <v>#VALUE!</v>
      </c>
      <c r="Y28" s="4" t="e">
        <f>X28*(1+'Tenure Split (WALES)'!F$118)</f>
        <v>#VALUE!</v>
      </c>
      <c r="Z28" s="4" t="e">
        <f>Y28*(1+'Tenure Split (WALES)'!G$118)</f>
        <v>#VALUE!</v>
      </c>
      <c r="AB28" s="1">
        <v>34</v>
      </c>
      <c r="AC28" s="4">
        <f>IF('Tenure Split (WALES)'!$D$18="Land Registry Data",'House Prices (Wales)'!D28,'House Prices (Wales)'!V28)</f>
        <v>126493.88699105062</v>
      </c>
      <c r="AD28" s="4">
        <f>IF('Tenure Split (WALES)'!$D$18="Land Registry Data",'House Prices (Wales)'!E28,'House Prices (Wales)'!W28)</f>
        <v>126775.53255497997</v>
      </c>
      <c r="AE28" s="4">
        <f>IF('Tenure Split (WALES)'!$D$18="Land Registry Data",'House Prices (Wales)'!F28,'House Prices (Wales)'!X28)</f>
        <v>129504.29729600479</v>
      </c>
      <c r="AF28" s="4">
        <f>IF('Tenure Split (WALES)'!$D$18="Land Registry Data",'House Prices (Wales)'!G28,'House Prices (Wales)'!Y28)</f>
        <v>134554.85721045348</v>
      </c>
      <c r="AG28" s="4">
        <f>IF('Tenure Split (WALES)'!$D$18="Land Registry Data",'House Prices (Wales)'!H28,'House Prices (Wales)'!Z28)</f>
        <v>140136.18244823959</v>
      </c>
    </row>
    <row r="29" spans="2:33" x14ac:dyDescent="0.25">
      <c r="B29" s="20">
        <v>35</v>
      </c>
      <c r="C29" s="58">
        <v>125000</v>
      </c>
      <c r="D29" s="59">
        <f>C29*(1+'Tenure Split (WALES)'!C$118)</f>
        <v>128550.6981616368</v>
      </c>
      <c r="E29" s="59">
        <f>D29*(1+'Tenure Split (WALES)'!D$118)</f>
        <v>128836.92332823167</v>
      </c>
      <c r="F29" s="59">
        <f>E29*(1+'Tenure Split (WALES)'!E$118)</f>
        <v>131610.05822764715</v>
      </c>
      <c r="G29" s="59">
        <f>F29*(1+'Tenure Split (WALES)'!F$118)</f>
        <v>136742.74106753402</v>
      </c>
      <c r="H29" s="60">
        <f>G29*(1+'Tenure Split (WALES)'!G$118)</f>
        <v>142414.8195612191</v>
      </c>
      <c r="L29" s="64" t="str">
        <f t="shared" si="0"/>
        <v/>
      </c>
      <c r="M29" s="264"/>
      <c r="N29" s="14">
        <f t="shared" si="3"/>
        <v>1</v>
      </c>
      <c r="T29" s="1">
        <f t="shared" si="1"/>
        <v>35</v>
      </c>
      <c r="U29" s="4" t="str">
        <f t="shared" si="2"/>
        <v/>
      </c>
      <c r="V29" s="4" t="e">
        <f>IF($V$3=$M$3,M29,U29*(1+'Tenure Split (WALES)'!C$118))</f>
        <v>#VALUE!</v>
      </c>
      <c r="W29" s="4" t="e">
        <f>V29*(1+'Tenure Split (WALES)'!D$118)</f>
        <v>#VALUE!</v>
      </c>
      <c r="X29" s="4" t="e">
        <f>W29*(1+'Tenure Split (WALES)'!E$118)</f>
        <v>#VALUE!</v>
      </c>
      <c r="Y29" s="4" t="e">
        <f>X29*(1+'Tenure Split (WALES)'!F$118)</f>
        <v>#VALUE!</v>
      </c>
      <c r="Z29" s="4" t="e">
        <f>Y29*(1+'Tenure Split (WALES)'!G$118)</f>
        <v>#VALUE!</v>
      </c>
      <c r="AB29" s="1">
        <v>35</v>
      </c>
      <c r="AC29" s="4">
        <f>IF('Tenure Split (WALES)'!$D$18="Land Registry Data",'House Prices (Wales)'!D29,'House Prices (Wales)'!V29)</f>
        <v>128550.6981616368</v>
      </c>
      <c r="AD29" s="4">
        <f>IF('Tenure Split (WALES)'!$D$18="Land Registry Data",'House Prices (Wales)'!E29,'House Prices (Wales)'!W29)</f>
        <v>128836.92332823167</v>
      </c>
      <c r="AE29" s="4">
        <f>IF('Tenure Split (WALES)'!$D$18="Land Registry Data",'House Prices (Wales)'!F29,'House Prices (Wales)'!X29)</f>
        <v>131610.05822764715</v>
      </c>
      <c r="AF29" s="4">
        <f>IF('Tenure Split (WALES)'!$D$18="Land Registry Data",'House Prices (Wales)'!G29,'House Prices (Wales)'!Y29)</f>
        <v>136742.74106753402</v>
      </c>
      <c r="AG29" s="4">
        <f>IF('Tenure Split (WALES)'!$D$18="Land Registry Data",'House Prices (Wales)'!H29,'House Prices (Wales)'!Z29)</f>
        <v>142414.8195612191</v>
      </c>
    </row>
    <row r="30" spans="2:33" x14ac:dyDescent="0.25">
      <c r="B30" s="20">
        <v>36</v>
      </c>
      <c r="C30" s="58">
        <v>125000</v>
      </c>
      <c r="D30" s="59">
        <f>C30*(1+'Tenure Split (WALES)'!C$118)</f>
        <v>128550.6981616368</v>
      </c>
      <c r="E30" s="59">
        <f>D30*(1+'Tenure Split (WALES)'!D$118)</f>
        <v>128836.92332823167</v>
      </c>
      <c r="F30" s="59">
        <f>E30*(1+'Tenure Split (WALES)'!E$118)</f>
        <v>131610.05822764715</v>
      </c>
      <c r="G30" s="59">
        <f>F30*(1+'Tenure Split (WALES)'!F$118)</f>
        <v>136742.74106753402</v>
      </c>
      <c r="H30" s="60">
        <f>G30*(1+'Tenure Split (WALES)'!G$118)</f>
        <v>142414.8195612191</v>
      </c>
      <c r="L30" s="64" t="str">
        <f t="shared" si="0"/>
        <v/>
      </c>
      <c r="M30" s="264"/>
      <c r="N30" s="14">
        <f t="shared" si="3"/>
        <v>1</v>
      </c>
      <c r="T30" s="1">
        <f t="shared" si="1"/>
        <v>36</v>
      </c>
      <c r="U30" s="4" t="str">
        <f t="shared" si="2"/>
        <v/>
      </c>
      <c r="V30" s="4" t="e">
        <f>IF($V$3=$M$3,M30,U30*(1+'Tenure Split (WALES)'!C$118))</f>
        <v>#VALUE!</v>
      </c>
      <c r="W30" s="4" t="e">
        <f>V30*(1+'Tenure Split (WALES)'!D$118)</f>
        <v>#VALUE!</v>
      </c>
      <c r="X30" s="4" t="e">
        <f>W30*(1+'Tenure Split (WALES)'!E$118)</f>
        <v>#VALUE!</v>
      </c>
      <c r="Y30" s="4" t="e">
        <f>X30*(1+'Tenure Split (WALES)'!F$118)</f>
        <v>#VALUE!</v>
      </c>
      <c r="Z30" s="4" t="e">
        <f>Y30*(1+'Tenure Split (WALES)'!G$118)</f>
        <v>#VALUE!</v>
      </c>
      <c r="AB30" s="1">
        <v>36</v>
      </c>
      <c r="AC30" s="4">
        <f>IF('Tenure Split (WALES)'!$D$18="Land Registry Data",'House Prices (Wales)'!D30,'House Prices (Wales)'!V30)</f>
        <v>128550.6981616368</v>
      </c>
      <c r="AD30" s="4">
        <f>IF('Tenure Split (WALES)'!$D$18="Land Registry Data",'House Prices (Wales)'!E30,'House Prices (Wales)'!W30)</f>
        <v>128836.92332823167</v>
      </c>
      <c r="AE30" s="4">
        <f>IF('Tenure Split (WALES)'!$D$18="Land Registry Data",'House Prices (Wales)'!F30,'House Prices (Wales)'!X30)</f>
        <v>131610.05822764715</v>
      </c>
      <c r="AF30" s="4">
        <f>IF('Tenure Split (WALES)'!$D$18="Land Registry Data",'House Prices (Wales)'!G30,'House Prices (Wales)'!Y30)</f>
        <v>136742.74106753402</v>
      </c>
      <c r="AG30" s="4">
        <f>IF('Tenure Split (WALES)'!$D$18="Land Registry Data",'House Prices (Wales)'!H30,'House Prices (Wales)'!Z30)</f>
        <v>142414.8195612191</v>
      </c>
    </row>
    <row r="31" spans="2:33" x14ac:dyDescent="0.25">
      <c r="B31" s="20">
        <v>37</v>
      </c>
      <c r="C31" s="58">
        <v>127500</v>
      </c>
      <c r="D31" s="59">
        <f>C31*(1+'Tenure Split (WALES)'!C$118)</f>
        <v>131121.71212486955</v>
      </c>
      <c r="E31" s="59">
        <f>D31*(1+'Tenure Split (WALES)'!D$118)</f>
        <v>131413.66179479632</v>
      </c>
      <c r="F31" s="59">
        <f>E31*(1+'Tenure Split (WALES)'!E$118)</f>
        <v>134242.2593922001</v>
      </c>
      <c r="G31" s="59">
        <f>F31*(1+'Tenure Split (WALES)'!F$118)</f>
        <v>139477.59588888471</v>
      </c>
      <c r="H31" s="60">
        <f>G31*(1+'Tenure Split (WALES)'!G$118)</f>
        <v>145263.11595244348</v>
      </c>
      <c r="L31" s="64" t="str">
        <f t="shared" si="0"/>
        <v/>
      </c>
      <c r="M31" s="264"/>
      <c r="N31" s="14">
        <f t="shared" si="3"/>
        <v>1</v>
      </c>
      <c r="T31" s="1">
        <f t="shared" si="1"/>
        <v>37</v>
      </c>
      <c r="U31" s="4" t="str">
        <f t="shared" si="2"/>
        <v/>
      </c>
      <c r="V31" s="4" t="e">
        <f>IF($V$3=$M$3,M31,U31*(1+'Tenure Split (WALES)'!C$118))</f>
        <v>#VALUE!</v>
      </c>
      <c r="W31" s="4" t="e">
        <f>V31*(1+'Tenure Split (WALES)'!D$118)</f>
        <v>#VALUE!</v>
      </c>
      <c r="X31" s="4" t="e">
        <f>W31*(1+'Tenure Split (WALES)'!E$118)</f>
        <v>#VALUE!</v>
      </c>
      <c r="Y31" s="4" t="e">
        <f>X31*(1+'Tenure Split (WALES)'!F$118)</f>
        <v>#VALUE!</v>
      </c>
      <c r="Z31" s="4" t="e">
        <f>Y31*(1+'Tenure Split (WALES)'!G$118)</f>
        <v>#VALUE!</v>
      </c>
      <c r="AB31" s="1">
        <v>37</v>
      </c>
      <c r="AC31" s="4">
        <f>IF('Tenure Split (WALES)'!$D$18="Land Registry Data",'House Prices (Wales)'!D31,'House Prices (Wales)'!V31)</f>
        <v>131121.71212486955</v>
      </c>
      <c r="AD31" s="4">
        <f>IF('Tenure Split (WALES)'!$D$18="Land Registry Data",'House Prices (Wales)'!E31,'House Prices (Wales)'!W31)</f>
        <v>131413.66179479632</v>
      </c>
      <c r="AE31" s="4">
        <f>IF('Tenure Split (WALES)'!$D$18="Land Registry Data",'House Prices (Wales)'!F31,'House Prices (Wales)'!X31)</f>
        <v>134242.2593922001</v>
      </c>
      <c r="AF31" s="4">
        <f>IF('Tenure Split (WALES)'!$D$18="Land Registry Data",'House Prices (Wales)'!G31,'House Prices (Wales)'!Y31)</f>
        <v>139477.59588888471</v>
      </c>
      <c r="AG31" s="4">
        <f>IF('Tenure Split (WALES)'!$D$18="Land Registry Data",'House Prices (Wales)'!H31,'House Prices (Wales)'!Z31)</f>
        <v>145263.11595244348</v>
      </c>
    </row>
    <row r="32" spans="2:33" x14ac:dyDescent="0.25">
      <c r="B32" s="20">
        <v>38</v>
      </c>
      <c r="C32" s="58">
        <v>130000</v>
      </c>
      <c r="D32" s="59">
        <f>C32*(1+'Tenure Split (WALES)'!C$118)</f>
        <v>133692.72608810227</v>
      </c>
      <c r="E32" s="59">
        <f>D32*(1+'Tenure Split (WALES)'!D$118)</f>
        <v>133990.40026136092</v>
      </c>
      <c r="F32" s="59">
        <f>E32*(1+'Tenure Split (WALES)'!E$118)</f>
        <v>136874.46055675301</v>
      </c>
      <c r="G32" s="59">
        <f>F32*(1+'Tenure Split (WALES)'!F$118)</f>
        <v>142212.45071023537</v>
      </c>
      <c r="H32" s="60">
        <f>G32*(1+'Tenure Split (WALES)'!G$118)</f>
        <v>148111.41234366785</v>
      </c>
      <c r="L32" s="64" t="str">
        <f t="shared" si="0"/>
        <v/>
      </c>
      <c r="M32" s="264"/>
      <c r="N32" s="14">
        <f t="shared" si="3"/>
        <v>1</v>
      </c>
      <c r="T32" s="1">
        <f t="shared" si="1"/>
        <v>38</v>
      </c>
      <c r="U32" s="4" t="str">
        <f t="shared" si="2"/>
        <v/>
      </c>
      <c r="V32" s="4" t="e">
        <f>IF($V$3=$M$3,M32,U32*(1+'Tenure Split (WALES)'!C$118))</f>
        <v>#VALUE!</v>
      </c>
      <c r="W32" s="4" t="e">
        <f>V32*(1+'Tenure Split (WALES)'!D$118)</f>
        <v>#VALUE!</v>
      </c>
      <c r="X32" s="4" t="e">
        <f>W32*(1+'Tenure Split (WALES)'!E$118)</f>
        <v>#VALUE!</v>
      </c>
      <c r="Y32" s="4" t="e">
        <f>X32*(1+'Tenure Split (WALES)'!F$118)</f>
        <v>#VALUE!</v>
      </c>
      <c r="Z32" s="4" t="e">
        <f>Y32*(1+'Tenure Split (WALES)'!G$118)</f>
        <v>#VALUE!</v>
      </c>
      <c r="AB32" s="1">
        <v>38</v>
      </c>
      <c r="AC32" s="4">
        <f>IF('Tenure Split (WALES)'!$D$18="Land Registry Data",'House Prices (Wales)'!D32,'House Prices (Wales)'!V32)</f>
        <v>133692.72608810227</v>
      </c>
      <c r="AD32" s="4">
        <f>IF('Tenure Split (WALES)'!$D$18="Land Registry Data",'House Prices (Wales)'!E32,'House Prices (Wales)'!W32)</f>
        <v>133990.40026136092</v>
      </c>
      <c r="AE32" s="4">
        <f>IF('Tenure Split (WALES)'!$D$18="Land Registry Data",'House Prices (Wales)'!F32,'House Prices (Wales)'!X32)</f>
        <v>136874.46055675301</v>
      </c>
      <c r="AF32" s="4">
        <f>IF('Tenure Split (WALES)'!$D$18="Land Registry Data",'House Prices (Wales)'!G32,'House Prices (Wales)'!Y32)</f>
        <v>142212.45071023537</v>
      </c>
      <c r="AG32" s="4">
        <f>IF('Tenure Split (WALES)'!$D$18="Land Registry Data",'House Prices (Wales)'!H32,'House Prices (Wales)'!Z32)</f>
        <v>148111.41234366785</v>
      </c>
    </row>
    <row r="33" spans="2:33" x14ac:dyDescent="0.25">
      <c r="B33" s="20">
        <v>39</v>
      </c>
      <c r="C33" s="58">
        <v>130000</v>
      </c>
      <c r="D33" s="59">
        <f>C33*(1+'Tenure Split (WALES)'!C$118)</f>
        <v>133692.72608810227</v>
      </c>
      <c r="E33" s="59">
        <f>D33*(1+'Tenure Split (WALES)'!D$118)</f>
        <v>133990.40026136092</v>
      </c>
      <c r="F33" s="59">
        <f>E33*(1+'Tenure Split (WALES)'!E$118)</f>
        <v>136874.46055675301</v>
      </c>
      <c r="G33" s="59">
        <f>F33*(1+'Tenure Split (WALES)'!F$118)</f>
        <v>142212.45071023537</v>
      </c>
      <c r="H33" s="60">
        <f>G33*(1+'Tenure Split (WALES)'!G$118)</f>
        <v>148111.41234366785</v>
      </c>
      <c r="L33" s="64" t="str">
        <f t="shared" si="0"/>
        <v/>
      </c>
      <c r="M33" s="264"/>
      <c r="N33" s="14">
        <f t="shared" si="3"/>
        <v>1</v>
      </c>
      <c r="T33" s="1">
        <f t="shared" si="1"/>
        <v>39</v>
      </c>
      <c r="U33" s="4" t="str">
        <f t="shared" si="2"/>
        <v/>
      </c>
      <c r="V33" s="4" t="e">
        <f>IF($V$3=$M$3,M33,U33*(1+'Tenure Split (WALES)'!C$118))</f>
        <v>#VALUE!</v>
      </c>
      <c r="W33" s="4" t="e">
        <f>V33*(1+'Tenure Split (WALES)'!D$118)</f>
        <v>#VALUE!</v>
      </c>
      <c r="X33" s="4" t="e">
        <f>W33*(1+'Tenure Split (WALES)'!E$118)</f>
        <v>#VALUE!</v>
      </c>
      <c r="Y33" s="4" t="e">
        <f>X33*(1+'Tenure Split (WALES)'!F$118)</f>
        <v>#VALUE!</v>
      </c>
      <c r="Z33" s="4" t="e">
        <f>Y33*(1+'Tenure Split (WALES)'!G$118)</f>
        <v>#VALUE!</v>
      </c>
      <c r="AB33" s="1">
        <v>39</v>
      </c>
      <c r="AC33" s="4">
        <f>IF('Tenure Split (WALES)'!$D$18="Land Registry Data",'House Prices (Wales)'!D33,'House Prices (Wales)'!V33)</f>
        <v>133692.72608810227</v>
      </c>
      <c r="AD33" s="4">
        <f>IF('Tenure Split (WALES)'!$D$18="Land Registry Data",'House Prices (Wales)'!E33,'House Prices (Wales)'!W33)</f>
        <v>133990.40026136092</v>
      </c>
      <c r="AE33" s="4">
        <f>IF('Tenure Split (WALES)'!$D$18="Land Registry Data",'House Prices (Wales)'!F33,'House Prices (Wales)'!X33)</f>
        <v>136874.46055675301</v>
      </c>
      <c r="AF33" s="4">
        <f>IF('Tenure Split (WALES)'!$D$18="Land Registry Data",'House Prices (Wales)'!G33,'House Prices (Wales)'!Y33)</f>
        <v>142212.45071023537</v>
      </c>
      <c r="AG33" s="4">
        <f>IF('Tenure Split (WALES)'!$D$18="Land Registry Data",'House Prices (Wales)'!H33,'House Prices (Wales)'!Z33)</f>
        <v>148111.41234366785</v>
      </c>
    </row>
    <row r="34" spans="2:33" x14ac:dyDescent="0.25">
      <c r="B34" s="20">
        <v>40</v>
      </c>
      <c r="C34" s="58">
        <v>132500</v>
      </c>
      <c r="D34" s="59">
        <f>C34*(1+'Tenure Split (WALES)'!C$118)</f>
        <v>136263.74005133501</v>
      </c>
      <c r="E34" s="59">
        <f>D34*(1+'Tenure Split (WALES)'!D$118)</f>
        <v>136567.13872792557</v>
      </c>
      <c r="F34" s="59">
        <f>E34*(1+'Tenure Split (WALES)'!E$118)</f>
        <v>139506.66172130598</v>
      </c>
      <c r="G34" s="59">
        <f>F34*(1+'Tenure Split (WALES)'!F$118)</f>
        <v>144947.30553158608</v>
      </c>
      <c r="H34" s="60">
        <f>G34*(1+'Tenure Split (WALES)'!G$118)</f>
        <v>150959.70873489225</v>
      </c>
      <c r="L34" s="64" t="str">
        <f t="shared" si="0"/>
        <v/>
      </c>
      <c r="M34" s="264"/>
      <c r="N34" s="14">
        <f t="shared" si="3"/>
        <v>1</v>
      </c>
      <c r="T34" s="1">
        <f t="shared" si="1"/>
        <v>40</v>
      </c>
      <c r="U34" s="4" t="str">
        <f t="shared" si="2"/>
        <v/>
      </c>
      <c r="V34" s="4" t="e">
        <f>IF($V$3=$M$3,M34,U34*(1+'Tenure Split (WALES)'!C$118))</f>
        <v>#VALUE!</v>
      </c>
      <c r="W34" s="4" t="e">
        <f>V34*(1+'Tenure Split (WALES)'!D$118)</f>
        <v>#VALUE!</v>
      </c>
      <c r="X34" s="4" t="e">
        <f>W34*(1+'Tenure Split (WALES)'!E$118)</f>
        <v>#VALUE!</v>
      </c>
      <c r="Y34" s="4" t="e">
        <f>X34*(1+'Tenure Split (WALES)'!F$118)</f>
        <v>#VALUE!</v>
      </c>
      <c r="Z34" s="4" t="e">
        <f>Y34*(1+'Tenure Split (WALES)'!G$118)</f>
        <v>#VALUE!</v>
      </c>
      <c r="AB34" s="1">
        <v>40</v>
      </c>
      <c r="AC34" s="4">
        <f>IF('Tenure Split (WALES)'!$D$18="Land Registry Data",'House Prices (Wales)'!D34,'House Prices (Wales)'!V34)</f>
        <v>136263.74005133501</v>
      </c>
      <c r="AD34" s="4">
        <f>IF('Tenure Split (WALES)'!$D$18="Land Registry Data",'House Prices (Wales)'!E34,'House Prices (Wales)'!W34)</f>
        <v>136567.13872792557</v>
      </c>
      <c r="AE34" s="4">
        <f>IF('Tenure Split (WALES)'!$D$18="Land Registry Data",'House Prices (Wales)'!F34,'House Prices (Wales)'!X34)</f>
        <v>139506.66172130598</v>
      </c>
      <c r="AF34" s="4">
        <f>IF('Tenure Split (WALES)'!$D$18="Land Registry Data",'House Prices (Wales)'!G34,'House Prices (Wales)'!Y34)</f>
        <v>144947.30553158608</v>
      </c>
      <c r="AG34" s="4">
        <f>IF('Tenure Split (WALES)'!$D$18="Land Registry Data",'House Prices (Wales)'!H34,'House Prices (Wales)'!Z34)</f>
        <v>150959.70873489225</v>
      </c>
    </row>
    <row r="35" spans="2:33" x14ac:dyDescent="0.25">
      <c r="B35" s="20">
        <v>41</v>
      </c>
      <c r="C35" s="58">
        <v>135000</v>
      </c>
      <c r="D35" s="59">
        <f>C35*(1+'Tenure Split (WALES)'!C$118)</f>
        <v>138834.75401456776</v>
      </c>
      <c r="E35" s="59">
        <f>D35*(1+'Tenure Split (WALES)'!D$118)</f>
        <v>139143.87719449023</v>
      </c>
      <c r="F35" s="59">
        <f>E35*(1+'Tenure Split (WALES)'!E$118)</f>
        <v>142138.86288585892</v>
      </c>
      <c r="G35" s="59">
        <f>F35*(1+'Tenure Split (WALES)'!F$118)</f>
        <v>147682.16035293674</v>
      </c>
      <c r="H35" s="60">
        <f>G35*(1+'Tenure Split (WALES)'!G$118)</f>
        <v>153808.00512611662</v>
      </c>
      <c r="L35" s="64" t="str">
        <f t="shared" si="0"/>
        <v/>
      </c>
      <c r="M35" s="264"/>
      <c r="N35" s="14">
        <f t="shared" si="3"/>
        <v>1</v>
      </c>
      <c r="T35" s="1">
        <f t="shared" si="1"/>
        <v>41</v>
      </c>
      <c r="U35" s="4" t="str">
        <f t="shared" si="2"/>
        <v/>
      </c>
      <c r="V35" s="4" t="e">
        <f>IF($V$3=$M$3,M35,U35*(1+'Tenure Split (WALES)'!C$118))</f>
        <v>#VALUE!</v>
      </c>
      <c r="W35" s="4" t="e">
        <f>V35*(1+'Tenure Split (WALES)'!D$118)</f>
        <v>#VALUE!</v>
      </c>
      <c r="X35" s="4" t="e">
        <f>W35*(1+'Tenure Split (WALES)'!E$118)</f>
        <v>#VALUE!</v>
      </c>
      <c r="Y35" s="4" t="e">
        <f>X35*(1+'Tenure Split (WALES)'!F$118)</f>
        <v>#VALUE!</v>
      </c>
      <c r="Z35" s="4" t="e">
        <f>Y35*(1+'Tenure Split (WALES)'!G$118)</f>
        <v>#VALUE!</v>
      </c>
      <c r="AB35" s="1">
        <v>41</v>
      </c>
      <c r="AC35" s="4">
        <f>IF('Tenure Split (WALES)'!$D$18="Land Registry Data",'House Prices (Wales)'!D35,'House Prices (Wales)'!V35)</f>
        <v>138834.75401456776</v>
      </c>
      <c r="AD35" s="4">
        <f>IF('Tenure Split (WALES)'!$D$18="Land Registry Data",'House Prices (Wales)'!E35,'House Prices (Wales)'!W35)</f>
        <v>139143.87719449023</v>
      </c>
      <c r="AE35" s="4">
        <f>IF('Tenure Split (WALES)'!$D$18="Land Registry Data",'House Prices (Wales)'!F35,'House Prices (Wales)'!X35)</f>
        <v>142138.86288585892</v>
      </c>
      <c r="AF35" s="4">
        <f>IF('Tenure Split (WALES)'!$D$18="Land Registry Data",'House Prices (Wales)'!G35,'House Prices (Wales)'!Y35)</f>
        <v>147682.16035293674</v>
      </c>
      <c r="AG35" s="4">
        <f>IF('Tenure Split (WALES)'!$D$18="Land Registry Data",'House Prices (Wales)'!H35,'House Prices (Wales)'!Z35)</f>
        <v>153808.00512611662</v>
      </c>
    </row>
    <row r="36" spans="2:33" x14ac:dyDescent="0.25">
      <c r="B36" s="20">
        <v>42</v>
      </c>
      <c r="C36" s="58">
        <v>135500</v>
      </c>
      <c r="D36" s="59">
        <f>C36*(1+'Tenure Split (WALES)'!C$118)</f>
        <v>139348.9568072143</v>
      </c>
      <c r="E36" s="59">
        <f>D36*(1+'Tenure Split (WALES)'!D$118)</f>
        <v>139659.22488780314</v>
      </c>
      <c r="F36" s="59">
        <f>E36*(1+'Tenure Split (WALES)'!E$118)</f>
        <v>142665.30311876952</v>
      </c>
      <c r="G36" s="59">
        <f>F36*(1+'Tenure Split (WALES)'!F$118)</f>
        <v>148229.13131720689</v>
      </c>
      <c r="H36" s="60">
        <f>G36*(1+'Tenure Split (WALES)'!G$118)</f>
        <v>154377.66440436151</v>
      </c>
      <c r="L36" s="64" t="str">
        <f t="shared" si="0"/>
        <v/>
      </c>
      <c r="M36" s="264"/>
      <c r="N36" s="14">
        <f t="shared" si="3"/>
        <v>1</v>
      </c>
      <c r="T36" s="1">
        <f t="shared" si="1"/>
        <v>42</v>
      </c>
      <c r="U36" s="4" t="str">
        <f t="shared" si="2"/>
        <v/>
      </c>
      <c r="V36" s="4" t="e">
        <f>IF($V$3=$M$3,M36,U36*(1+'Tenure Split (WALES)'!C$118))</f>
        <v>#VALUE!</v>
      </c>
      <c r="W36" s="4" t="e">
        <f>V36*(1+'Tenure Split (WALES)'!D$118)</f>
        <v>#VALUE!</v>
      </c>
      <c r="X36" s="4" t="e">
        <f>W36*(1+'Tenure Split (WALES)'!E$118)</f>
        <v>#VALUE!</v>
      </c>
      <c r="Y36" s="4" t="e">
        <f>X36*(1+'Tenure Split (WALES)'!F$118)</f>
        <v>#VALUE!</v>
      </c>
      <c r="Z36" s="4" t="e">
        <f>Y36*(1+'Tenure Split (WALES)'!G$118)</f>
        <v>#VALUE!</v>
      </c>
      <c r="AB36" s="1">
        <v>42</v>
      </c>
      <c r="AC36" s="4">
        <f>IF('Tenure Split (WALES)'!$D$18="Land Registry Data",'House Prices (Wales)'!D36,'House Prices (Wales)'!V36)</f>
        <v>139348.9568072143</v>
      </c>
      <c r="AD36" s="4">
        <f>IF('Tenure Split (WALES)'!$D$18="Land Registry Data",'House Prices (Wales)'!E36,'House Prices (Wales)'!W36)</f>
        <v>139659.22488780314</v>
      </c>
      <c r="AE36" s="4">
        <f>IF('Tenure Split (WALES)'!$D$18="Land Registry Data",'House Prices (Wales)'!F36,'House Prices (Wales)'!X36)</f>
        <v>142665.30311876952</v>
      </c>
      <c r="AF36" s="4">
        <f>IF('Tenure Split (WALES)'!$D$18="Land Registry Data",'House Prices (Wales)'!G36,'House Prices (Wales)'!Y36)</f>
        <v>148229.13131720689</v>
      </c>
      <c r="AG36" s="4">
        <f>IF('Tenure Split (WALES)'!$D$18="Land Registry Data",'House Prices (Wales)'!H36,'House Prices (Wales)'!Z36)</f>
        <v>154377.66440436151</v>
      </c>
    </row>
    <row r="37" spans="2:33" x14ac:dyDescent="0.25">
      <c r="B37" s="20">
        <v>43</v>
      </c>
      <c r="C37" s="58">
        <v>138000</v>
      </c>
      <c r="D37" s="59">
        <f>C37*(1+'Tenure Split (WALES)'!C$118)</f>
        <v>141919.97077044702</v>
      </c>
      <c r="E37" s="59">
        <f>D37*(1+'Tenure Split (WALES)'!D$118)</f>
        <v>142235.96335436776</v>
      </c>
      <c r="F37" s="59">
        <f>E37*(1+'Tenure Split (WALES)'!E$118)</f>
        <v>145297.50428332243</v>
      </c>
      <c r="G37" s="59">
        <f>F37*(1+'Tenure Split (WALES)'!F$118)</f>
        <v>150963.98613855755</v>
      </c>
      <c r="H37" s="60">
        <f>G37*(1+'Tenure Split (WALES)'!G$118)</f>
        <v>157225.96079558588</v>
      </c>
      <c r="L37" s="64" t="str">
        <f t="shared" si="0"/>
        <v/>
      </c>
      <c r="M37" s="264"/>
      <c r="N37" s="14">
        <f t="shared" si="3"/>
        <v>1</v>
      </c>
      <c r="T37" s="1">
        <f t="shared" si="1"/>
        <v>43</v>
      </c>
      <c r="U37" s="4" t="str">
        <f t="shared" si="2"/>
        <v/>
      </c>
      <c r="V37" s="4" t="e">
        <f>IF($V$3=$M$3,M37,U37*(1+'Tenure Split (WALES)'!C$118))</f>
        <v>#VALUE!</v>
      </c>
      <c r="W37" s="4" t="e">
        <f>V37*(1+'Tenure Split (WALES)'!D$118)</f>
        <v>#VALUE!</v>
      </c>
      <c r="X37" s="4" t="e">
        <f>W37*(1+'Tenure Split (WALES)'!E$118)</f>
        <v>#VALUE!</v>
      </c>
      <c r="Y37" s="4" t="e">
        <f>X37*(1+'Tenure Split (WALES)'!F$118)</f>
        <v>#VALUE!</v>
      </c>
      <c r="Z37" s="4" t="e">
        <f>Y37*(1+'Tenure Split (WALES)'!G$118)</f>
        <v>#VALUE!</v>
      </c>
      <c r="AB37" s="1">
        <v>43</v>
      </c>
      <c r="AC37" s="4">
        <f>IF('Tenure Split (WALES)'!$D$18="Land Registry Data",'House Prices (Wales)'!D37,'House Prices (Wales)'!V37)</f>
        <v>141919.97077044702</v>
      </c>
      <c r="AD37" s="4">
        <f>IF('Tenure Split (WALES)'!$D$18="Land Registry Data",'House Prices (Wales)'!E37,'House Prices (Wales)'!W37)</f>
        <v>142235.96335436776</v>
      </c>
      <c r="AE37" s="4">
        <f>IF('Tenure Split (WALES)'!$D$18="Land Registry Data",'House Prices (Wales)'!F37,'House Prices (Wales)'!X37)</f>
        <v>145297.50428332243</v>
      </c>
      <c r="AF37" s="4">
        <f>IF('Tenure Split (WALES)'!$D$18="Land Registry Data",'House Prices (Wales)'!G37,'House Prices (Wales)'!Y37)</f>
        <v>150963.98613855755</v>
      </c>
      <c r="AG37" s="4">
        <f>IF('Tenure Split (WALES)'!$D$18="Land Registry Data",'House Prices (Wales)'!H37,'House Prices (Wales)'!Z37)</f>
        <v>157225.96079558588</v>
      </c>
    </row>
    <row r="38" spans="2:33" x14ac:dyDescent="0.25">
      <c r="B38" s="20">
        <v>44</v>
      </c>
      <c r="C38" s="58">
        <v>140000</v>
      </c>
      <c r="D38" s="59">
        <f>C38*(1+'Tenure Split (WALES)'!C$118)</f>
        <v>143976.78194103323</v>
      </c>
      <c r="E38" s="59">
        <f>D38*(1+'Tenure Split (WALES)'!D$118)</f>
        <v>144297.35412761947</v>
      </c>
      <c r="F38" s="59">
        <f>E38*(1+'Tenure Split (WALES)'!E$118)</f>
        <v>147403.26521496481</v>
      </c>
      <c r="G38" s="59">
        <f>F38*(1+'Tenure Split (WALES)'!F$118)</f>
        <v>153151.86999563812</v>
      </c>
      <c r="H38" s="60">
        <f>G38*(1+'Tenure Split (WALES)'!G$118)</f>
        <v>159504.5979085654</v>
      </c>
      <c r="L38" s="64" t="str">
        <f t="shared" si="0"/>
        <v/>
      </c>
      <c r="M38" s="264"/>
      <c r="N38" s="14">
        <f t="shared" si="3"/>
        <v>1</v>
      </c>
      <c r="T38" s="1">
        <f t="shared" si="1"/>
        <v>44</v>
      </c>
      <c r="U38" s="4" t="str">
        <f t="shared" si="2"/>
        <v/>
      </c>
      <c r="V38" s="4" t="e">
        <f>IF($V$3=$M$3,M38,U38*(1+'Tenure Split (WALES)'!C$118))</f>
        <v>#VALUE!</v>
      </c>
      <c r="W38" s="4" t="e">
        <f>V38*(1+'Tenure Split (WALES)'!D$118)</f>
        <v>#VALUE!</v>
      </c>
      <c r="X38" s="4" t="e">
        <f>W38*(1+'Tenure Split (WALES)'!E$118)</f>
        <v>#VALUE!</v>
      </c>
      <c r="Y38" s="4" t="e">
        <f>X38*(1+'Tenure Split (WALES)'!F$118)</f>
        <v>#VALUE!</v>
      </c>
      <c r="Z38" s="4" t="e">
        <f>Y38*(1+'Tenure Split (WALES)'!G$118)</f>
        <v>#VALUE!</v>
      </c>
      <c r="AB38" s="1">
        <v>44</v>
      </c>
      <c r="AC38" s="4">
        <f>IF('Tenure Split (WALES)'!$D$18="Land Registry Data",'House Prices (Wales)'!D38,'House Prices (Wales)'!V38)</f>
        <v>143976.78194103323</v>
      </c>
      <c r="AD38" s="4">
        <f>IF('Tenure Split (WALES)'!$D$18="Land Registry Data",'House Prices (Wales)'!E38,'House Prices (Wales)'!W38)</f>
        <v>144297.35412761947</v>
      </c>
      <c r="AE38" s="4">
        <f>IF('Tenure Split (WALES)'!$D$18="Land Registry Data",'House Prices (Wales)'!F38,'House Prices (Wales)'!X38)</f>
        <v>147403.26521496481</v>
      </c>
      <c r="AF38" s="4">
        <f>IF('Tenure Split (WALES)'!$D$18="Land Registry Data",'House Prices (Wales)'!G38,'House Prices (Wales)'!Y38)</f>
        <v>153151.86999563812</v>
      </c>
      <c r="AG38" s="4">
        <f>IF('Tenure Split (WALES)'!$D$18="Land Registry Data",'House Prices (Wales)'!H38,'House Prices (Wales)'!Z38)</f>
        <v>159504.5979085654</v>
      </c>
    </row>
    <row r="39" spans="2:33" x14ac:dyDescent="0.25">
      <c r="B39" s="20">
        <v>45</v>
      </c>
      <c r="C39" s="58">
        <v>140166.75</v>
      </c>
      <c r="D39" s="59">
        <f>C39*(1+'Tenure Split (WALES)'!C$118)</f>
        <v>144148.26857238085</v>
      </c>
      <c r="E39" s="59">
        <f>D39*(1+'Tenure Split (WALES)'!D$118)</f>
        <v>144469.22258333935</v>
      </c>
      <c r="F39" s="59">
        <f>E39*(1+'Tenure Split (WALES)'!E$118)</f>
        <v>147578.83303264048</v>
      </c>
      <c r="G39" s="59">
        <f>F39*(1+'Tenure Split (WALES)'!F$118)</f>
        <v>153334.28481222221</v>
      </c>
      <c r="H39" s="60">
        <f>G39*(1+'Tenure Split (WALES)'!G$118)</f>
        <v>159694.57927786006</v>
      </c>
      <c r="L39" s="64" t="str">
        <f t="shared" si="0"/>
        <v/>
      </c>
      <c r="M39" s="264"/>
      <c r="N39" s="14">
        <f t="shared" si="3"/>
        <v>1</v>
      </c>
      <c r="T39" s="1">
        <f t="shared" si="1"/>
        <v>45</v>
      </c>
      <c r="U39" s="4" t="str">
        <f t="shared" si="2"/>
        <v/>
      </c>
      <c r="V39" s="4" t="e">
        <f>IF($V$3=$M$3,M39,U39*(1+'Tenure Split (WALES)'!C$118))</f>
        <v>#VALUE!</v>
      </c>
      <c r="W39" s="4" t="e">
        <f>V39*(1+'Tenure Split (WALES)'!D$118)</f>
        <v>#VALUE!</v>
      </c>
      <c r="X39" s="4" t="e">
        <f>W39*(1+'Tenure Split (WALES)'!E$118)</f>
        <v>#VALUE!</v>
      </c>
      <c r="Y39" s="4" t="e">
        <f>X39*(1+'Tenure Split (WALES)'!F$118)</f>
        <v>#VALUE!</v>
      </c>
      <c r="Z39" s="4" t="e">
        <f>Y39*(1+'Tenure Split (WALES)'!G$118)</f>
        <v>#VALUE!</v>
      </c>
      <c r="AB39" s="1">
        <v>45</v>
      </c>
      <c r="AC39" s="4">
        <f>IF('Tenure Split (WALES)'!$D$18="Land Registry Data",'House Prices (Wales)'!D39,'House Prices (Wales)'!V39)</f>
        <v>144148.26857238085</v>
      </c>
      <c r="AD39" s="4">
        <f>IF('Tenure Split (WALES)'!$D$18="Land Registry Data",'House Prices (Wales)'!E39,'House Prices (Wales)'!W39)</f>
        <v>144469.22258333935</v>
      </c>
      <c r="AE39" s="4">
        <f>IF('Tenure Split (WALES)'!$D$18="Land Registry Data",'House Prices (Wales)'!F39,'House Prices (Wales)'!X39)</f>
        <v>147578.83303264048</v>
      </c>
      <c r="AF39" s="4">
        <f>IF('Tenure Split (WALES)'!$D$18="Land Registry Data",'House Prices (Wales)'!G39,'House Prices (Wales)'!Y39)</f>
        <v>153334.28481222221</v>
      </c>
      <c r="AG39" s="4">
        <f>IF('Tenure Split (WALES)'!$D$18="Land Registry Data",'House Prices (Wales)'!H39,'House Prices (Wales)'!Z39)</f>
        <v>159694.57927786006</v>
      </c>
    </row>
    <row r="40" spans="2:33" x14ac:dyDescent="0.25">
      <c r="B40" s="20">
        <v>46</v>
      </c>
      <c r="C40" s="58">
        <v>143500</v>
      </c>
      <c r="D40" s="59">
        <f>C40*(1+'Tenure Split (WALES)'!C$118)</f>
        <v>147576.20148955905</v>
      </c>
      <c r="E40" s="59">
        <f>D40*(1+'Tenure Split (WALES)'!D$118)</f>
        <v>147904.78798080995</v>
      </c>
      <c r="F40" s="59">
        <f>E40*(1+'Tenure Split (WALES)'!E$118)</f>
        <v>151088.34684533891</v>
      </c>
      <c r="G40" s="59">
        <f>F40*(1+'Tenure Split (WALES)'!F$118)</f>
        <v>156980.66674552904</v>
      </c>
      <c r="H40" s="60">
        <f>G40*(1+'Tenure Split (WALES)'!G$118)</f>
        <v>163492.21285627951</v>
      </c>
      <c r="L40" s="64" t="str">
        <f t="shared" si="0"/>
        <v/>
      </c>
      <c r="M40" s="264"/>
      <c r="N40" s="14">
        <f t="shared" si="3"/>
        <v>1</v>
      </c>
      <c r="T40" s="1">
        <f t="shared" si="1"/>
        <v>46</v>
      </c>
      <c r="U40" s="4" t="str">
        <f t="shared" si="2"/>
        <v/>
      </c>
      <c r="V40" s="4" t="e">
        <f>IF($V$3=$M$3,M40,U40*(1+'Tenure Split (WALES)'!C$118))</f>
        <v>#VALUE!</v>
      </c>
      <c r="W40" s="4" t="e">
        <f>V40*(1+'Tenure Split (WALES)'!D$118)</f>
        <v>#VALUE!</v>
      </c>
      <c r="X40" s="4" t="e">
        <f>W40*(1+'Tenure Split (WALES)'!E$118)</f>
        <v>#VALUE!</v>
      </c>
      <c r="Y40" s="4" t="e">
        <f>X40*(1+'Tenure Split (WALES)'!F$118)</f>
        <v>#VALUE!</v>
      </c>
      <c r="Z40" s="4" t="e">
        <f>Y40*(1+'Tenure Split (WALES)'!G$118)</f>
        <v>#VALUE!</v>
      </c>
      <c r="AB40" s="1">
        <v>46</v>
      </c>
      <c r="AC40" s="4">
        <f>IF('Tenure Split (WALES)'!$D$18="Land Registry Data",'House Prices (Wales)'!D40,'House Prices (Wales)'!V40)</f>
        <v>147576.20148955905</v>
      </c>
      <c r="AD40" s="4">
        <f>IF('Tenure Split (WALES)'!$D$18="Land Registry Data",'House Prices (Wales)'!E40,'House Prices (Wales)'!W40)</f>
        <v>147904.78798080995</v>
      </c>
      <c r="AE40" s="4">
        <f>IF('Tenure Split (WALES)'!$D$18="Land Registry Data",'House Prices (Wales)'!F40,'House Prices (Wales)'!X40)</f>
        <v>151088.34684533891</v>
      </c>
      <c r="AF40" s="4">
        <f>IF('Tenure Split (WALES)'!$D$18="Land Registry Data",'House Prices (Wales)'!G40,'House Prices (Wales)'!Y40)</f>
        <v>156980.66674552904</v>
      </c>
      <c r="AG40" s="4">
        <f>IF('Tenure Split (WALES)'!$D$18="Land Registry Data",'House Prices (Wales)'!H40,'House Prices (Wales)'!Z40)</f>
        <v>163492.21285627951</v>
      </c>
    </row>
    <row r="41" spans="2:33" x14ac:dyDescent="0.25">
      <c r="B41" s="20">
        <v>47</v>
      </c>
      <c r="C41" s="58">
        <v>145000</v>
      </c>
      <c r="D41" s="59">
        <f>C41*(1+'Tenure Split (WALES)'!C$118)</f>
        <v>149118.8098674987</v>
      </c>
      <c r="E41" s="59">
        <f>D41*(1+'Tenure Split (WALES)'!D$118)</f>
        <v>149450.83106074875</v>
      </c>
      <c r="F41" s="59">
        <f>E41*(1+'Tenure Split (WALES)'!E$118)</f>
        <v>152667.66754407069</v>
      </c>
      <c r="G41" s="59">
        <f>F41*(1+'Tenure Split (WALES)'!F$118)</f>
        <v>158621.57963833946</v>
      </c>
      <c r="H41" s="60">
        <f>G41*(1+'Tenure Split (WALES)'!G$118)</f>
        <v>165201.19069101414</v>
      </c>
      <c r="L41" s="64" t="str">
        <f t="shared" si="0"/>
        <v/>
      </c>
      <c r="M41" s="264"/>
      <c r="N41" s="14">
        <f t="shared" si="3"/>
        <v>1</v>
      </c>
      <c r="T41" s="1">
        <f t="shared" si="1"/>
        <v>47</v>
      </c>
      <c r="U41" s="4" t="str">
        <f t="shared" si="2"/>
        <v/>
      </c>
      <c r="V41" s="4" t="e">
        <f>IF($V$3=$M$3,M41,U41*(1+'Tenure Split (WALES)'!C$118))</f>
        <v>#VALUE!</v>
      </c>
      <c r="W41" s="4" t="e">
        <f>V41*(1+'Tenure Split (WALES)'!D$118)</f>
        <v>#VALUE!</v>
      </c>
      <c r="X41" s="4" t="e">
        <f>W41*(1+'Tenure Split (WALES)'!E$118)</f>
        <v>#VALUE!</v>
      </c>
      <c r="Y41" s="4" t="e">
        <f>X41*(1+'Tenure Split (WALES)'!F$118)</f>
        <v>#VALUE!</v>
      </c>
      <c r="Z41" s="4" t="e">
        <f>Y41*(1+'Tenure Split (WALES)'!G$118)</f>
        <v>#VALUE!</v>
      </c>
      <c r="AB41" s="1">
        <v>47</v>
      </c>
      <c r="AC41" s="4">
        <f>IF('Tenure Split (WALES)'!$D$18="Land Registry Data",'House Prices (Wales)'!D41,'House Prices (Wales)'!V41)</f>
        <v>149118.8098674987</v>
      </c>
      <c r="AD41" s="4">
        <f>IF('Tenure Split (WALES)'!$D$18="Land Registry Data",'House Prices (Wales)'!E41,'House Prices (Wales)'!W41)</f>
        <v>149450.83106074875</v>
      </c>
      <c r="AE41" s="4">
        <f>IF('Tenure Split (WALES)'!$D$18="Land Registry Data",'House Prices (Wales)'!F41,'House Prices (Wales)'!X41)</f>
        <v>152667.66754407069</v>
      </c>
      <c r="AF41" s="4">
        <f>IF('Tenure Split (WALES)'!$D$18="Land Registry Data",'House Prices (Wales)'!G41,'House Prices (Wales)'!Y41)</f>
        <v>158621.57963833946</v>
      </c>
      <c r="AG41" s="4">
        <f>IF('Tenure Split (WALES)'!$D$18="Land Registry Data",'House Prices (Wales)'!H41,'House Prices (Wales)'!Z41)</f>
        <v>165201.19069101414</v>
      </c>
    </row>
    <row r="42" spans="2:33" x14ac:dyDescent="0.25">
      <c r="B42" s="20">
        <v>48</v>
      </c>
      <c r="C42" s="58">
        <v>147000</v>
      </c>
      <c r="D42" s="59">
        <f>C42*(1+'Tenure Split (WALES)'!C$118)</f>
        <v>151175.62103808488</v>
      </c>
      <c r="E42" s="59">
        <f>D42*(1+'Tenure Split (WALES)'!D$118)</f>
        <v>151512.22183400043</v>
      </c>
      <c r="F42" s="59">
        <f>E42*(1+'Tenure Split (WALES)'!E$118)</f>
        <v>154773.42847571304</v>
      </c>
      <c r="G42" s="59">
        <f>F42*(1+'Tenure Split (WALES)'!F$118)</f>
        <v>160809.46349542</v>
      </c>
      <c r="H42" s="60">
        <f>G42*(1+'Tenure Split (WALES)'!G$118)</f>
        <v>167479.82780399366</v>
      </c>
      <c r="L42" s="64" t="str">
        <f t="shared" si="0"/>
        <v/>
      </c>
      <c r="M42" s="264"/>
      <c r="N42" s="14">
        <f t="shared" si="3"/>
        <v>1</v>
      </c>
      <c r="T42" s="1">
        <f t="shared" si="1"/>
        <v>48</v>
      </c>
      <c r="U42" s="4" t="str">
        <f t="shared" si="2"/>
        <v/>
      </c>
      <c r="V42" s="4" t="e">
        <f>IF($V$3=$M$3,M42,U42*(1+'Tenure Split (WALES)'!C$118))</f>
        <v>#VALUE!</v>
      </c>
      <c r="W42" s="4" t="e">
        <f>V42*(1+'Tenure Split (WALES)'!D$118)</f>
        <v>#VALUE!</v>
      </c>
      <c r="X42" s="4" t="e">
        <f>W42*(1+'Tenure Split (WALES)'!E$118)</f>
        <v>#VALUE!</v>
      </c>
      <c r="Y42" s="4" t="e">
        <f>X42*(1+'Tenure Split (WALES)'!F$118)</f>
        <v>#VALUE!</v>
      </c>
      <c r="Z42" s="4" t="e">
        <f>Y42*(1+'Tenure Split (WALES)'!G$118)</f>
        <v>#VALUE!</v>
      </c>
      <c r="AB42" s="1">
        <v>48</v>
      </c>
      <c r="AC42" s="4">
        <f>IF('Tenure Split (WALES)'!$D$18="Land Registry Data",'House Prices (Wales)'!D42,'House Prices (Wales)'!V42)</f>
        <v>151175.62103808488</v>
      </c>
      <c r="AD42" s="4">
        <f>IF('Tenure Split (WALES)'!$D$18="Land Registry Data",'House Prices (Wales)'!E42,'House Prices (Wales)'!W42)</f>
        <v>151512.22183400043</v>
      </c>
      <c r="AE42" s="4">
        <f>IF('Tenure Split (WALES)'!$D$18="Land Registry Data",'House Prices (Wales)'!F42,'House Prices (Wales)'!X42)</f>
        <v>154773.42847571304</v>
      </c>
      <c r="AF42" s="4">
        <f>IF('Tenure Split (WALES)'!$D$18="Land Registry Data",'House Prices (Wales)'!G42,'House Prices (Wales)'!Y42)</f>
        <v>160809.46349542</v>
      </c>
      <c r="AG42" s="4">
        <f>IF('Tenure Split (WALES)'!$D$18="Land Registry Data",'House Prices (Wales)'!H42,'House Prices (Wales)'!Z42)</f>
        <v>167479.82780399366</v>
      </c>
    </row>
    <row r="43" spans="2:33" x14ac:dyDescent="0.25">
      <c r="B43" s="20">
        <v>49</v>
      </c>
      <c r="C43" s="58">
        <v>149995</v>
      </c>
      <c r="D43" s="59">
        <f>C43*(1+'Tenure Split (WALES)'!C$118)</f>
        <v>154255.69576603771</v>
      </c>
      <c r="E43" s="59">
        <f>D43*(1+'Tenure Split (WALES)'!D$118)</f>
        <v>154599.15451694489</v>
      </c>
      <c r="F43" s="59">
        <f>E43*(1+'Tenure Split (WALES)'!E$118)</f>
        <v>157926.8054708475</v>
      </c>
      <c r="G43" s="59">
        <f>F43*(1+'Tenure Split (WALES)'!F$118)</f>
        <v>164085.81957139817</v>
      </c>
      <c r="H43" s="60">
        <f>G43*(1+'Tenure Split (WALES)'!G$118)</f>
        <v>170892.08688068052</v>
      </c>
      <c r="L43" s="64" t="str">
        <f t="shared" si="0"/>
        <v/>
      </c>
      <c r="M43" s="264"/>
      <c r="N43" s="14">
        <f t="shared" si="3"/>
        <v>1</v>
      </c>
      <c r="T43" s="1">
        <f t="shared" si="1"/>
        <v>49</v>
      </c>
      <c r="U43" s="4" t="str">
        <f t="shared" si="2"/>
        <v/>
      </c>
      <c r="V43" s="4" t="e">
        <f>IF($V$3=$M$3,M43,U43*(1+'Tenure Split (WALES)'!C$118))</f>
        <v>#VALUE!</v>
      </c>
      <c r="W43" s="4" t="e">
        <f>V43*(1+'Tenure Split (WALES)'!D$118)</f>
        <v>#VALUE!</v>
      </c>
      <c r="X43" s="4" t="e">
        <f>W43*(1+'Tenure Split (WALES)'!E$118)</f>
        <v>#VALUE!</v>
      </c>
      <c r="Y43" s="4" t="e">
        <f>X43*(1+'Tenure Split (WALES)'!F$118)</f>
        <v>#VALUE!</v>
      </c>
      <c r="Z43" s="4" t="e">
        <f>Y43*(1+'Tenure Split (WALES)'!G$118)</f>
        <v>#VALUE!</v>
      </c>
      <c r="AB43" s="1">
        <v>49</v>
      </c>
      <c r="AC43" s="4">
        <f>IF('Tenure Split (WALES)'!$D$18="Land Registry Data",'House Prices (Wales)'!D43,'House Prices (Wales)'!V43)</f>
        <v>154255.69576603771</v>
      </c>
      <c r="AD43" s="4">
        <f>IF('Tenure Split (WALES)'!$D$18="Land Registry Data",'House Prices (Wales)'!E43,'House Prices (Wales)'!W43)</f>
        <v>154599.15451694489</v>
      </c>
      <c r="AE43" s="4">
        <f>IF('Tenure Split (WALES)'!$D$18="Land Registry Data",'House Prices (Wales)'!F43,'House Prices (Wales)'!X43)</f>
        <v>157926.8054708475</v>
      </c>
      <c r="AF43" s="4">
        <f>IF('Tenure Split (WALES)'!$D$18="Land Registry Data",'House Prices (Wales)'!G43,'House Prices (Wales)'!Y43)</f>
        <v>164085.81957139817</v>
      </c>
      <c r="AG43" s="4">
        <f>IF('Tenure Split (WALES)'!$D$18="Land Registry Data",'House Prices (Wales)'!H43,'House Prices (Wales)'!Z43)</f>
        <v>170892.08688068052</v>
      </c>
    </row>
    <row r="44" spans="2:33" x14ac:dyDescent="0.25">
      <c r="B44" s="20">
        <v>50</v>
      </c>
      <c r="C44" s="58">
        <v>150000</v>
      </c>
      <c r="D44" s="59">
        <f>C44*(1+'Tenure Split (WALES)'!C$118)</f>
        <v>154260.83779396417</v>
      </c>
      <c r="E44" s="59">
        <f>D44*(1+'Tenure Split (WALES)'!D$118)</f>
        <v>154604.307993878</v>
      </c>
      <c r="F44" s="59">
        <f>E44*(1+'Tenure Split (WALES)'!E$118)</f>
        <v>157932.06987317657</v>
      </c>
      <c r="G44" s="59">
        <f>F44*(1+'Tenure Split (WALES)'!F$118)</f>
        <v>164091.28928104084</v>
      </c>
      <c r="H44" s="60">
        <f>G44*(1+'Tenure Split (WALES)'!G$118)</f>
        <v>170897.78347346291</v>
      </c>
      <c r="L44" s="64" t="str">
        <f t="shared" si="0"/>
        <v/>
      </c>
      <c r="M44" s="264"/>
      <c r="N44" s="14">
        <f t="shared" si="3"/>
        <v>1</v>
      </c>
      <c r="T44" s="1">
        <f t="shared" si="1"/>
        <v>50</v>
      </c>
      <c r="U44" s="4" t="str">
        <f t="shared" si="2"/>
        <v/>
      </c>
      <c r="V44" s="4" t="e">
        <f>IF($V$3=$M$3,M44,U44*(1+'Tenure Split (WALES)'!C$118))</f>
        <v>#VALUE!</v>
      </c>
      <c r="W44" s="4" t="e">
        <f>V44*(1+'Tenure Split (WALES)'!D$118)</f>
        <v>#VALUE!</v>
      </c>
      <c r="X44" s="4" t="e">
        <f>W44*(1+'Tenure Split (WALES)'!E$118)</f>
        <v>#VALUE!</v>
      </c>
      <c r="Y44" s="4" t="e">
        <f>X44*(1+'Tenure Split (WALES)'!F$118)</f>
        <v>#VALUE!</v>
      </c>
      <c r="Z44" s="4" t="e">
        <f>Y44*(1+'Tenure Split (WALES)'!G$118)</f>
        <v>#VALUE!</v>
      </c>
      <c r="AB44" s="1">
        <v>50</v>
      </c>
      <c r="AC44" s="4">
        <f>IF('Tenure Split (WALES)'!$D$18="Land Registry Data",'House Prices (Wales)'!D44,'House Prices (Wales)'!V44)</f>
        <v>154260.83779396417</v>
      </c>
      <c r="AD44" s="4">
        <f>IF('Tenure Split (WALES)'!$D$18="Land Registry Data",'House Prices (Wales)'!E44,'House Prices (Wales)'!W44)</f>
        <v>154604.307993878</v>
      </c>
      <c r="AE44" s="4">
        <f>IF('Tenure Split (WALES)'!$D$18="Land Registry Data",'House Prices (Wales)'!F44,'House Prices (Wales)'!X44)</f>
        <v>157932.06987317657</v>
      </c>
      <c r="AF44" s="4">
        <f>IF('Tenure Split (WALES)'!$D$18="Land Registry Data",'House Prices (Wales)'!G44,'House Prices (Wales)'!Y44)</f>
        <v>164091.28928104084</v>
      </c>
      <c r="AG44" s="4">
        <f>IF('Tenure Split (WALES)'!$D$18="Land Registry Data",'House Prices (Wales)'!H44,'House Prices (Wales)'!Z44)</f>
        <v>170897.78347346291</v>
      </c>
    </row>
    <row r="45" spans="2:33" x14ac:dyDescent="0.25">
      <c r="B45" s="20">
        <v>51</v>
      </c>
      <c r="C45" s="58">
        <v>153000</v>
      </c>
      <c r="D45" s="59">
        <f>C45*(1+'Tenure Split (WALES)'!C$118)</f>
        <v>157346.05454984345</v>
      </c>
      <c r="E45" s="59">
        <f>D45*(1+'Tenure Split (WALES)'!D$118)</f>
        <v>157696.39415375557</v>
      </c>
      <c r="F45" s="59">
        <f>E45*(1+'Tenure Split (WALES)'!E$118)</f>
        <v>161090.71127064011</v>
      </c>
      <c r="G45" s="59">
        <f>F45*(1+'Tenure Split (WALES)'!F$118)</f>
        <v>167373.11506666164</v>
      </c>
      <c r="H45" s="60">
        <f>G45*(1+'Tenure Split (WALES)'!G$118)</f>
        <v>174315.73914293217</v>
      </c>
      <c r="L45" s="64" t="str">
        <f t="shared" si="0"/>
        <v/>
      </c>
      <c r="M45" s="264"/>
      <c r="N45" s="14">
        <f t="shared" si="3"/>
        <v>1</v>
      </c>
      <c r="T45" s="1">
        <f t="shared" si="1"/>
        <v>51</v>
      </c>
      <c r="U45" s="4" t="str">
        <f t="shared" si="2"/>
        <v/>
      </c>
      <c r="V45" s="4" t="e">
        <f>IF($V$3=$M$3,M45,U45*(1+'Tenure Split (WALES)'!C$118))</f>
        <v>#VALUE!</v>
      </c>
      <c r="W45" s="4" t="e">
        <f>V45*(1+'Tenure Split (WALES)'!D$118)</f>
        <v>#VALUE!</v>
      </c>
      <c r="X45" s="4" t="e">
        <f>W45*(1+'Tenure Split (WALES)'!E$118)</f>
        <v>#VALUE!</v>
      </c>
      <c r="Y45" s="4" t="e">
        <f>X45*(1+'Tenure Split (WALES)'!F$118)</f>
        <v>#VALUE!</v>
      </c>
      <c r="Z45" s="4" t="e">
        <f>Y45*(1+'Tenure Split (WALES)'!G$118)</f>
        <v>#VALUE!</v>
      </c>
      <c r="AB45" s="1">
        <v>51</v>
      </c>
      <c r="AC45" s="4">
        <f>IF('Tenure Split (WALES)'!$D$18="Land Registry Data",'House Prices (Wales)'!D45,'House Prices (Wales)'!V45)</f>
        <v>157346.05454984345</v>
      </c>
      <c r="AD45" s="4">
        <f>IF('Tenure Split (WALES)'!$D$18="Land Registry Data",'House Prices (Wales)'!E45,'House Prices (Wales)'!W45)</f>
        <v>157696.39415375557</v>
      </c>
      <c r="AE45" s="4">
        <f>IF('Tenure Split (WALES)'!$D$18="Land Registry Data",'House Prices (Wales)'!F45,'House Prices (Wales)'!X45)</f>
        <v>161090.71127064011</v>
      </c>
      <c r="AF45" s="4">
        <f>IF('Tenure Split (WALES)'!$D$18="Land Registry Data",'House Prices (Wales)'!G45,'House Prices (Wales)'!Y45)</f>
        <v>167373.11506666164</v>
      </c>
      <c r="AG45" s="4">
        <f>IF('Tenure Split (WALES)'!$D$18="Land Registry Data",'House Prices (Wales)'!H45,'House Prices (Wales)'!Z45)</f>
        <v>174315.73914293217</v>
      </c>
    </row>
    <row r="46" spans="2:33" x14ac:dyDescent="0.25">
      <c r="B46" s="20">
        <v>52</v>
      </c>
      <c r="C46" s="58">
        <v>155000</v>
      </c>
      <c r="D46" s="59">
        <f>C46*(1+'Tenure Split (WALES)'!C$118)</f>
        <v>159402.86572042963</v>
      </c>
      <c r="E46" s="59">
        <f>D46*(1+'Tenure Split (WALES)'!D$118)</f>
        <v>159757.78492700728</v>
      </c>
      <c r="F46" s="59">
        <f>E46*(1+'Tenure Split (WALES)'!E$118)</f>
        <v>163196.47220228246</v>
      </c>
      <c r="G46" s="59">
        <f>F46*(1+'Tenure Split (WALES)'!F$118)</f>
        <v>169560.99892374218</v>
      </c>
      <c r="H46" s="60">
        <f>G46*(1+'Tenure Split (WALES)'!G$118)</f>
        <v>176594.37625591166</v>
      </c>
      <c r="L46" s="64" t="str">
        <f t="shared" si="0"/>
        <v/>
      </c>
      <c r="M46" s="264"/>
      <c r="N46" s="14">
        <f t="shared" si="3"/>
        <v>1</v>
      </c>
      <c r="T46" s="1">
        <f t="shared" si="1"/>
        <v>52</v>
      </c>
      <c r="U46" s="4" t="str">
        <f t="shared" si="2"/>
        <v/>
      </c>
      <c r="V46" s="4" t="e">
        <f>IF($V$3=$M$3,M46,U46*(1+'Tenure Split (WALES)'!C$118))</f>
        <v>#VALUE!</v>
      </c>
      <c r="W46" s="4" t="e">
        <f>V46*(1+'Tenure Split (WALES)'!D$118)</f>
        <v>#VALUE!</v>
      </c>
      <c r="X46" s="4" t="e">
        <f>W46*(1+'Tenure Split (WALES)'!E$118)</f>
        <v>#VALUE!</v>
      </c>
      <c r="Y46" s="4" t="e">
        <f>X46*(1+'Tenure Split (WALES)'!F$118)</f>
        <v>#VALUE!</v>
      </c>
      <c r="Z46" s="4" t="e">
        <f>Y46*(1+'Tenure Split (WALES)'!G$118)</f>
        <v>#VALUE!</v>
      </c>
      <c r="AB46" s="1">
        <v>52</v>
      </c>
      <c r="AC46" s="4">
        <f>IF('Tenure Split (WALES)'!$D$18="Land Registry Data",'House Prices (Wales)'!D46,'House Prices (Wales)'!V46)</f>
        <v>159402.86572042963</v>
      </c>
      <c r="AD46" s="4">
        <f>IF('Tenure Split (WALES)'!$D$18="Land Registry Data",'House Prices (Wales)'!E46,'House Prices (Wales)'!W46)</f>
        <v>159757.78492700728</v>
      </c>
      <c r="AE46" s="4">
        <f>IF('Tenure Split (WALES)'!$D$18="Land Registry Data",'House Prices (Wales)'!F46,'House Prices (Wales)'!X46)</f>
        <v>163196.47220228246</v>
      </c>
      <c r="AF46" s="4">
        <f>IF('Tenure Split (WALES)'!$D$18="Land Registry Data",'House Prices (Wales)'!G46,'House Prices (Wales)'!Y46)</f>
        <v>169560.99892374218</v>
      </c>
      <c r="AG46" s="4">
        <f>IF('Tenure Split (WALES)'!$D$18="Land Registry Data",'House Prices (Wales)'!H46,'House Prices (Wales)'!Z46)</f>
        <v>176594.37625591166</v>
      </c>
    </row>
    <row r="47" spans="2:33" x14ac:dyDescent="0.25">
      <c r="B47" s="20">
        <v>53</v>
      </c>
      <c r="C47" s="58">
        <v>157500</v>
      </c>
      <c r="D47" s="59">
        <f>C47*(1+'Tenure Split (WALES)'!C$118)</f>
        <v>161973.87968366238</v>
      </c>
      <c r="E47" s="59">
        <f>D47*(1+'Tenure Split (WALES)'!D$118)</f>
        <v>162334.5233935719</v>
      </c>
      <c r="F47" s="59">
        <f>E47*(1+'Tenure Split (WALES)'!E$118)</f>
        <v>165828.6733668354</v>
      </c>
      <c r="G47" s="59">
        <f>F47*(1+'Tenure Split (WALES)'!F$118)</f>
        <v>172295.85374509287</v>
      </c>
      <c r="H47" s="60">
        <f>G47*(1+'Tenure Split (WALES)'!G$118)</f>
        <v>179442.67264713606</v>
      </c>
      <c r="L47" s="64" t="str">
        <f t="shared" si="0"/>
        <v/>
      </c>
      <c r="M47" s="264"/>
      <c r="N47" s="14">
        <f t="shared" si="3"/>
        <v>1</v>
      </c>
      <c r="T47" s="1">
        <f t="shared" si="1"/>
        <v>53</v>
      </c>
      <c r="U47" s="4" t="str">
        <f t="shared" si="2"/>
        <v/>
      </c>
      <c r="V47" s="4" t="e">
        <f>IF($V$3=$M$3,M47,U47*(1+'Tenure Split (WALES)'!C$118))</f>
        <v>#VALUE!</v>
      </c>
      <c r="W47" s="4" t="e">
        <f>V47*(1+'Tenure Split (WALES)'!D$118)</f>
        <v>#VALUE!</v>
      </c>
      <c r="X47" s="4" t="e">
        <f>W47*(1+'Tenure Split (WALES)'!E$118)</f>
        <v>#VALUE!</v>
      </c>
      <c r="Y47" s="4" t="e">
        <f>X47*(1+'Tenure Split (WALES)'!F$118)</f>
        <v>#VALUE!</v>
      </c>
      <c r="Z47" s="4" t="e">
        <f>Y47*(1+'Tenure Split (WALES)'!G$118)</f>
        <v>#VALUE!</v>
      </c>
      <c r="AB47" s="1">
        <v>53</v>
      </c>
      <c r="AC47" s="4">
        <f>IF('Tenure Split (WALES)'!$D$18="Land Registry Data",'House Prices (Wales)'!D47,'House Prices (Wales)'!V47)</f>
        <v>161973.87968366238</v>
      </c>
      <c r="AD47" s="4">
        <f>IF('Tenure Split (WALES)'!$D$18="Land Registry Data",'House Prices (Wales)'!E47,'House Prices (Wales)'!W47)</f>
        <v>162334.5233935719</v>
      </c>
      <c r="AE47" s="4">
        <f>IF('Tenure Split (WALES)'!$D$18="Land Registry Data",'House Prices (Wales)'!F47,'House Prices (Wales)'!X47)</f>
        <v>165828.6733668354</v>
      </c>
      <c r="AF47" s="4">
        <f>IF('Tenure Split (WALES)'!$D$18="Land Registry Data",'House Prices (Wales)'!G47,'House Prices (Wales)'!Y47)</f>
        <v>172295.85374509287</v>
      </c>
      <c r="AG47" s="4">
        <f>IF('Tenure Split (WALES)'!$D$18="Land Registry Data",'House Prices (Wales)'!H47,'House Prices (Wales)'!Z47)</f>
        <v>179442.67264713606</v>
      </c>
    </row>
    <row r="48" spans="2:33" x14ac:dyDescent="0.25">
      <c r="B48" s="20">
        <v>54</v>
      </c>
      <c r="C48" s="58">
        <v>160000</v>
      </c>
      <c r="D48" s="59">
        <f>C48*(1+'Tenure Split (WALES)'!C$118)</f>
        <v>164544.8936468951</v>
      </c>
      <c r="E48" s="59">
        <f>D48*(1+'Tenure Split (WALES)'!D$118)</f>
        <v>164911.26186013652</v>
      </c>
      <c r="F48" s="59">
        <f>E48*(1+'Tenure Split (WALES)'!E$118)</f>
        <v>168460.87453138831</v>
      </c>
      <c r="G48" s="59">
        <f>F48*(1+'Tenure Split (WALES)'!F$118)</f>
        <v>175030.70856644353</v>
      </c>
      <c r="H48" s="60">
        <f>G48*(1+'Tenure Split (WALES)'!G$118)</f>
        <v>182290.96903836043</v>
      </c>
      <c r="L48" s="64" t="str">
        <f t="shared" si="0"/>
        <v/>
      </c>
      <c r="M48" s="264"/>
      <c r="N48" s="14">
        <f t="shared" si="3"/>
        <v>1</v>
      </c>
      <c r="T48" s="1">
        <f t="shared" si="1"/>
        <v>54</v>
      </c>
      <c r="U48" s="4" t="str">
        <f t="shared" si="2"/>
        <v/>
      </c>
      <c r="V48" s="4" t="e">
        <f>IF($V$3=$M$3,M48,U48*(1+'Tenure Split (WALES)'!C$118))</f>
        <v>#VALUE!</v>
      </c>
      <c r="W48" s="4" t="e">
        <f>V48*(1+'Tenure Split (WALES)'!D$118)</f>
        <v>#VALUE!</v>
      </c>
      <c r="X48" s="4" t="e">
        <f>W48*(1+'Tenure Split (WALES)'!E$118)</f>
        <v>#VALUE!</v>
      </c>
      <c r="Y48" s="4" t="e">
        <f>X48*(1+'Tenure Split (WALES)'!F$118)</f>
        <v>#VALUE!</v>
      </c>
      <c r="Z48" s="4" t="e">
        <f>Y48*(1+'Tenure Split (WALES)'!G$118)</f>
        <v>#VALUE!</v>
      </c>
      <c r="AB48" s="1">
        <v>54</v>
      </c>
      <c r="AC48" s="4">
        <f>IF('Tenure Split (WALES)'!$D$18="Land Registry Data",'House Prices (Wales)'!D48,'House Prices (Wales)'!V48)</f>
        <v>164544.8936468951</v>
      </c>
      <c r="AD48" s="4">
        <f>IF('Tenure Split (WALES)'!$D$18="Land Registry Data",'House Prices (Wales)'!E48,'House Prices (Wales)'!W48)</f>
        <v>164911.26186013652</v>
      </c>
      <c r="AE48" s="4">
        <f>IF('Tenure Split (WALES)'!$D$18="Land Registry Data",'House Prices (Wales)'!F48,'House Prices (Wales)'!X48)</f>
        <v>168460.87453138831</v>
      </c>
      <c r="AF48" s="4">
        <f>IF('Tenure Split (WALES)'!$D$18="Land Registry Data",'House Prices (Wales)'!G48,'House Prices (Wales)'!Y48)</f>
        <v>175030.70856644353</v>
      </c>
      <c r="AG48" s="4">
        <f>IF('Tenure Split (WALES)'!$D$18="Land Registry Data",'House Prices (Wales)'!H48,'House Prices (Wales)'!Z48)</f>
        <v>182290.96903836043</v>
      </c>
    </row>
    <row r="49" spans="2:33" x14ac:dyDescent="0.25">
      <c r="B49" s="20">
        <v>55</v>
      </c>
      <c r="C49" s="58">
        <v>160000</v>
      </c>
      <c r="D49" s="59">
        <f>C49*(1+'Tenure Split (WALES)'!C$118)</f>
        <v>164544.8936468951</v>
      </c>
      <c r="E49" s="59">
        <f>D49*(1+'Tenure Split (WALES)'!D$118)</f>
        <v>164911.26186013652</v>
      </c>
      <c r="F49" s="59">
        <f>E49*(1+'Tenure Split (WALES)'!E$118)</f>
        <v>168460.87453138831</v>
      </c>
      <c r="G49" s="59">
        <f>F49*(1+'Tenure Split (WALES)'!F$118)</f>
        <v>175030.70856644353</v>
      </c>
      <c r="H49" s="60">
        <f>G49*(1+'Tenure Split (WALES)'!G$118)</f>
        <v>182290.96903836043</v>
      </c>
      <c r="L49" s="64" t="str">
        <f t="shared" si="0"/>
        <v/>
      </c>
      <c r="M49" s="264"/>
      <c r="N49" s="14">
        <f t="shared" si="3"/>
        <v>1</v>
      </c>
      <c r="T49" s="1">
        <f t="shared" si="1"/>
        <v>55</v>
      </c>
      <c r="U49" s="4" t="str">
        <f t="shared" si="2"/>
        <v/>
      </c>
      <c r="V49" s="4" t="e">
        <f>IF($V$3=$M$3,M49,U49*(1+'Tenure Split (WALES)'!C$118))</f>
        <v>#VALUE!</v>
      </c>
      <c r="W49" s="4" t="e">
        <f>V49*(1+'Tenure Split (WALES)'!D$118)</f>
        <v>#VALUE!</v>
      </c>
      <c r="X49" s="4" t="e">
        <f>W49*(1+'Tenure Split (WALES)'!E$118)</f>
        <v>#VALUE!</v>
      </c>
      <c r="Y49" s="4" t="e">
        <f>X49*(1+'Tenure Split (WALES)'!F$118)</f>
        <v>#VALUE!</v>
      </c>
      <c r="Z49" s="4" t="e">
        <f>Y49*(1+'Tenure Split (WALES)'!G$118)</f>
        <v>#VALUE!</v>
      </c>
      <c r="AB49" s="1">
        <v>55</v>
      </c>
      <c r="AC49" s="4">
        <f>IF('Tenure Split (WALES)'!$D$18="Land Registry Data",'House Prices (Wales)'!D49,'House Prices (Wales)'!V49)</f>
        <v>164544.8936468951</v>
      </c>
      <c r="AD49" s="4">
        <f>IF('Tenure Split (WALES)'!$D$18="Land Registry Data",'House Prices (Wales)'!E49,'House Prices (Wales)'!W49)</f>
        <v>164911.26186013652</v>
      </c>
      <c r="AE49" s="4">
        <f>IF('Tenure Split (WALES)'!$D$18="Land Registry Data",'House Prices (Wales)'!F49,'House Prices (Wales)'!X49)</f>
        <v>168460.87453138831</v>
      </c>
      <c r="AF49" s="4">
        <f>IF('Tenure Split (WALES)'!$D$18="Land Registry Data",'House Prices (Wales)'!G49,'House Prices (Wales)'!Y49)</f>
        <v>175030.70856644353</v>
      </c>
      <c r="AG49" s="4">
        <f>IF('Tenure Split (WALES)'!$D$18="Land Registry Data",'House Prices (Wales)'!H49,'House Prices (Wales)'!Z49)</f>
        <v>182290.96903836043</v>
      </c>
    </row>
    <row r="50" spans="2:33" x14ac:dyDescent="0.25">
      <c r="B50" s="20">
        <v>56</v>
      </c>
      <c r="C50" s="58">
        <v>163590.00000000032</v>
      </c>
      <c r="D50" s="59">
        <f>C50*(1+'Tenure Split (WALES)'!C$118)</f>
        <v>168236.86969809764</v>
      </c>
      <c r="E50" s="59">
        <f>D50*(1+'Tenure Split (WALES)'!D$118)</f>
        <v>168611.45829812367</v>
      </c>
      <c r="F50" s="59">
        <f>E50*(1+'Tenure Split (WALES)'!E$118)</f>
        <v>172240.71540368669</v>
      </c>
      <c r="G50" s="59">
        <f>F50*(1+'Tenure Split (WALES)'!F$118)</f>
        <v>178957.96008990347</v>
      </c>
      <c r="H50" s="60">
        <f>G50*(1+'Tenure Split (WALES)'!G$118)</f>
        <v>186381.12265615902</v>
      </c>
      <c r="L50" s="64" t="str">
        <f t="shared" si="0"/>
        <v/>
      </c>
      <c r="M50" s="264"/>
      <c r="N50" s="14">
        <f t="shared" si="3"/>
        <v>1</v>
      </c>
      <c r="T50" s="1">
        <f t="shared" si="1"/>
        <v>56</v>
      </c>
      <c r="U50" s="4" t="str">
        <f t="shared" si="2"/>
        <v/>
      </c>
      <c r="V50" s="4" t="e">
        <f>IF($V$3=$M$3,M50,U50*(1+'Tenure Split (WALES)'!C$118))</f>
        <v>#VALUE!</v>
      </c>
      <c r="W50" s="4" t="e">
        <f>V50*(1+'Tenure Split (WALES)'!D$118)</f>
        <v>#VALUE!</v>
      </c>
      <c r="X50" s="4" t="e">
        <f>W50*(1+'Tenure Split (WALES)'!E$118)</f>
        <v>#VALUE!</v>
      </c>
      <c r="Y50" s="4" t="e">
        <f>X50*(1+'Tenure Split (WALES)'!F$118)</f>
        <v>#VALUE!</v>
      </c>
      <c r="Z50" s="4" t="e">
        <f>Y50*(1+'Tenure Split (WALES)'!G$118)</f>
        <v>#VALUE!</v>
      </c>
      <c r="AB50" s="1">
        <v>56</v>
      </c>
      <c r="AC50" s="4">
        <f>IF('Tenure Split (WALES)'!$D$18="Land Registry Data",'House Prices (Wales)'!D50,'House Prices (Wales)'!V50)</f>
        <v>168236.86969809764</v>
      </c>
      <c r="AD50" s="4">
        <f>IF('Tenure Split (WALES)'!$D$18="Land Registry Data",'House Prices (Wales)'!E50,'House Prices (Wales)'!W50)</f>
        <v>168611.45829812367</v>
      </c>
      <c r="AE50" s="4">
        <f>IF('Tenure Split (WALES)'!$D$18="Land Registry Data",'House Prices (Wales)'!F50,'House Prices (Wales)'!X50)</f>
        <v>172240.71540368669</v>
      </c>
      <c r="AF50" s="4">
        <f>IF('Tenure Split (WALES)'!$D$18="Land Registry Data",'House Prices (Wales)'!G50,'House Prices (Wales)'!Y50)</f>
        <v>178957.96008990347</v>
      </c>
      <c r="AG50" s="4">
        <f>IF('Tenure Split (WALES)'!$D$18="Land Registry Data",'House Prices (Wales)'!H50,'House Prices (Wales)'!Z50)</f>
        <v>186381.12265615902</v>
      </c>
    </row>
    <row r="51" spans="2:33" x14ac:dyDescent="0.25">
      <c r="B51" s="20">
        <v>57</v>
      </c>
      <c r="C51" s="58">
        <v>165000</v>
      </c>
      <c r="D51" s="59">
        <f>C51*(1+'Tenure Split (WALES)'!C$118)</f>
        <v>169686.9215733606</v>
      </c>
      <c r="E51" s="59">
        <f>D51*(1+'Tenure Split (WALES)'!D$118)</f>
        <v>170064.73879326583</v>
      </c>
      <c r="F51" s="59">
        <f>E51*(1+'Tenure Split (WALES)'!E$118)</f>
        <v>173725.27686049425</v>
      </c>
      <c r="G51" s="59">
        <f>F51*(1+'Tenure Split (WALES)'!F$118)</f>
        <v>180500.41820914493</v>
      </c>
      <c r="H51" s="60">
        <f>G51*(1+'Tenure Split (WALES)'!G$118)</f>
        <v>187987.56182080923</v>
      </c>
      <c r="L51" s="64" t="str">
        <f t="shared" si="0"/>
        <v/>
      </c>
      <c r="M51" s="264"/>
      <c r="N51" s="14">
        <f t="shared" si="3"/>
        <v>1</v>
      </c>
      <c r="T51" s="1">
        <f t="shared" si="1"/>
        <v>57</v>
      </c>
      <c r="U51" s="4" t="str">
        <f t="shared" si="2"/>
        <v/>
      </c>
      <c r="V51" s="4" t="e">
        <f>IF($V$3=$M$3,M51,U51*(1+'Tenure Split (WALES)'!C$118))</f>
        <v>#VALUE!</v>
      </c>
      <c r="W51" s="4" t="e">
        <f>V51*(1+'Tenure Split (WALES)'!D$118)</f>
        <v>#VALUE!</v>
      </c>
      <c r="X51" s="4" t="e">
        <f>W51*(1+'Tenure Split (WALES)'!E$118)</f>
        <v>#VALUE!</v>
      </c>
      <c r="Y51" s="4" t="e">
        <f>X51*(1+'Tenure Split (WALES)'!F$118)</f>
        <v>#VALUE!</v>
      </c>
      <c r="Z51" s="4" t="e">
        <f>Y51*(1+'Tenure Split (WALES)'!G$118)</f>
        <v>#VALUE!</v>
      </c>
      <c r="AB51" s="1">
        <v>57</v>
      </c>
      <c r="AC51" s="4">
        <f>IF('Tenure Split (WALES)'!$D$18="Land Registry Data",'House Prices (Wales)'!D51,'House Prices (Wales)'!V51)</f>
        <v>169686.9215733606</v>
      </c>
      <c r="AD51" s="4">
        <f>IF('Tenure Split (WALES)'!$D$18="Land Registry Data",'House Prices (Wales)'!E51,'House Prices (Wales)'!W51)</f>
        <v>170064.73879326583</v>
      </c>
      <c r="AE51" s="4">
        <f>IF('Tenure Split (WALES)'!$D$18="Land Registry Data",'House Prices (Wales)'!F51,'House Prices (Wales)'!X51)</f>
        <v>173725.27686049425</v>
      </c>
      <c r="AF51" s="4">
        <f>IF('Tenure Split (WALES)'!$D$18="Land Registry Data",'House Prices (Wales)'!G51,'House Prices (Wales)'!Y51)</f>
        <v>180500.41820914493</v>
      </c>
      <c r="AG51" s="4">
        <f>IF('Tenure Split (WALES)'!$D$18="Land Registry Data",'House Prices (Wales)'!H51,'House Prices (Wales)'!Z51)</f>
        <v>187987.56182080923</v>
      </c>
    </row>
    <row r="52" spans="2:33" x14ac:dyDescent="0.25">
      <c r="B52" s="20">
        <v>58</v>
      </c>
      <c r="C52" s="58">
        <v>167500</v>
      </c>
      <c r="D52" s="59">
        <f>C52*(1+'Tenure Split (WALES)'!C$118)</f>
        <v>172257.93553659332</v>
      </c>
      <c r="E52" s="59">
        <f>D52*(1+'Tenure Split (WALES)'!D$118)</f>
        <v>172641.47725983043</v>
      </c>
      <c r="F52" s="59">
        <f>E52*(1+'Tenure Split (WALES)'!E$118)</f>
        <v>176357.47802504717</v>
      </c>
      <c r="G52" s="59">
        <f>F52*(1+'Tenure Split (WALES)'!F$118)</f>
        <v>183235.27303049559</v>
      </c>
      <c r="H52" s="60">
        <f>G52*(1+'Tenure Split (WALES)'!G$118)</f>
        <v>190835.85821203358</v>
      </c>
      <c r="L52" s="64" t="str">
        <f t="shared" si="0"/>
        <v/>
      </c>
      <c r="M52" s="264"/>
      <c r="N52" s="14">
        <f t="shared" si="3"/>
        <v>1</v>
      </c>
      <c r="T52" s="1">
        <f t="shared" si="1"/>
        <v>58</v>
      </c>
      <c r="U52" s="4" t="str">
        <f t="shared" si="2"/>
        <v/>
      </c>
      <c r="V52" s="4" t="e">
        <f>IF($V$3=$M$3,M52,U52*(1+'Tenure Split (WALES)'!C$118))</f>
        <v>#VALUE!</v>
      </c>
      <c r="W52" s="4" t="e">
        <f>V52*(1+'Tenure Split (WALES)'!D$118)</f>
        <v>#VALUE!</v>
      </c>
      <c r="X52" s="4" t="e">
        <f>W52*(1+'Tenure Split (WALES)'!E$118)</f>
        <v>#VALUE!</v>
      </c>
      <c r="Y52" s="4" t="e">
        <f>X52*(1+'Tenure Split (WALES)'!F$118)</f>
        <v>#VALUE!</v>
      </c>
      <c r="Z52" s="4" t="e">
        <f>Y52*(1+'Tenure Split (WALES)'!G$118)</f>
        <v>#VALUE!</v>
      </c>
      <c r="AB52" s="1">
        <v>58</v>
      </c>
      <c r="AC52" s="4">
        <f>IF('Tenure Split (WALES)'!$D$18="Land Registry Data",'House Prices (Wales)'!D52,'House Prices (Wales)'!V52)</f>
        <v>172257.93553659332</v>
      </c>
      <c r="AD52" s="4">
        <f>IF('Tenure Split (WALES)'!$D$18="Land Registry Data",'House Prices (Wales)'!E52,'House Prices (Wales)'!W52)</f>
        <v>172641.47725983043</v>
      </c>
      <c r="AE52" s="4">
        <f>IF('Tenure Split (WALES)'!$D$18="Land Registry Data",'House Prices (Wales)'!F52,'House Prices (Wales)'!X52)</f>
        <v>176357.47802504717</v>
      </c>
      <c r="AF52" s="4">
        <f>IF('Tenure Split (WALES)'!$D$18="Land Registry Data",'House Prices (Wales)'!G52,'House Prices (Wales)'!Y52)</f>
        <v>183235.27303049559</v>
      </c>
      <c r="AG52" s="4">
        <f>IF('Tenure Split (WALES)'!$D$18="Land Registry Data",'House Prices (Wales)'!H52,'House Prices (Wales)'!Z52)</f>
        <v>190835.85821203358</v>
      </c>
    </row>
    <row r="53" spans="2:33" x14ac:dyDescent="0.25">
      <c r="B53" s="20">
        <v>59</v>
      </c>
      <c r="C53" s="58">
        <v>170000</v>
      </c>
      <c r="D53" s="59">
        <f>C53*(1+'Tenure Split (WALES)'!C$118)</f>
        <v>174828.94949982606</v>
      </c>
      <c r="E53" s="59">
        <f>D53*(1+'Tenure Split (WALES)'!D$118)</f>
        <v>175218.21572639508</v>
      </c>
      <c r="F53" s="59">
        <f>E53*(1+'Tenure Split (WALES)'!E$118)</f>
        <v>178989.67918960011</v>
      </c>
      <c r="G53" s="59">
        <f>F53*(1+'Tenure Split (WALES)'!F$118)</f>
        <v>185970.12785184628</v>
      </c>
      <c r="H53" s="60">
        <f>G53*(1+'Tenure Split (WALES)'!G$118)</f>
        <v>193684.15460325798</v>
      </c>
      <c r="L53" s="64" t="str">
        <f t="shared" si="0"/>
        <v/>
      </c>
      <c r="M53" s="264"/>
      <c r="N53" s="14">
        <f t="shared" si="3"/>
        <v>1</v>
      </c>
      <c r="T53" s="1">
        <f t="shared" si="1"/>
        <v>59</v>
      </c>
      <c r="U53" s="4" t="str">
        <f t="shared" si="2"/>
        <v/>
      </c>
      <c r="V53" s="4" t="e">
        <f>IF($V$3=$M$3,M53,U53*(1+'Tenure Split (WALES)'!C$118))</f>
        <v>#VALUE!</v>
      </c>
      <c r="W53" s="4" t="e">
        <f>V53*(1+'Tenure Split (WALES)'!D$118)</f>
        <v>#VALUE!</v>
      </c>
      <c r="X53" s="4" t="e">
        <f>W53*(1+'Tenure Split (WALES)'!E$118)</f>
        <v>#VALUE!</v>
      </c>
      <c r="Y53" s="4" t="e">
        <f>X53*(1+'Tenure Split (WALES)'!F$118)</f>
        <v>#VALUE!</v>
      </c>
      <c r="Z53" s="4" t="e">
        <f>Y53*(1+'Tenure Split (WALES)'!G$118)</f>
        <v>#VALUE!</v>
      </c>
      <c r="AB53" s="1">
        <v>59</v>
      </c>
      <c r="AC53" s="4">
        <f>IF('Tenure Split (WALES)'!$D$18="Land Registry Data",'House Prices (Wales)'!D53,'House Prices (Wales)'!V53)</f>
        <v>174828.94949982606</v>
      </c>
      <c r="AD53" s="4">
        <f>IF('Tenure Split (WALES)'!$D$18="Land Registry Data",'House Prices (Wales)'!E53,'House Prices (Wales)'!W53)</f>
        <v>175218.21572639508</v>
      </c>
      <c r="AE53" s="4">
        <f>IF('Tenure Split (WALES)'!$D$18="Land Registry Data",'House Prices (Wales)'!F53,'House Prices (Wales)'!X53)</f>
        <v>178989.67918960011</v>
      </c>
      <c r="AF53" s="4">
        <f>IF('Tenure Split (WALES)'!$D$18="Land Registry Data",'House Prices (Wales)'!G53,'House Prices (Wales)'!Y53)</f>
        <v>185970.12785184628</v>
      </c>
      <c r="AG53" s="4">
        <f>IF('Tenure Split (WALES)'!$D$18="Land Registry Data",'House Prices (Wales)'!H53,'House Prices (Wales)'!Z53)</f>
        <v>193684.15460325798</v>
      </c>
    </row>
    <row r="54" spans="2:33" x14ac:dyDescent="0.25">
      <c r="B54" s="20">
        <v>60</v>
      </c>
      <c r="C54" s="58">
        <v>172000</v>
      </c>
      <c r="D54" s="59">
        <f>C54*(1+'Tenure Split (WALES)'!C$118)</f>
        <v>176885.76067041224</v>
      </c>
      <c r="E54" s="59">
        <f>D54*(1+'Tenure Split (WALES)'!D$118)</f>
        <v>177279.60649964679</v>
      </c>
      <c r="F54" s="59">
        <f>E54*(1+'Tenure Split (WALES)'!E$118)</f>
        <v>181095.44012124249</v>
      </c>
      <c r="G54" s="59">
        <f>F54*(1+'Tenure Split (WALES)'!F$118)</f>
        <v>188158.01170892685</v>
      </c>
      <c r="H54" s="60">
        <f>G54*(1+'Tenure Split (WALES)'!G$118)</f>
        <v>195962.79171623749</v>
      </c>
      <c r="L54" s="64" t="str">
        <f t="shared" si="0"/>
        <v/>
      </c>
      <c r="M54" s="264"/>
      <c r="N54" s="14">
        <f t="shared" si="3"/>
        <v>1</v>
      </c>
      <c r="T54" s="1">
        <f t="shared" si="1"/>
        <v>60</v>
      </c>
      <c r="U54" s="4" t="str">
        <f t="shared" si="2"/>
        <v/>
      </c>
      <c r="V54" s="4" t="e">
        <f>IF($V$3=$M$3,M54,U54*(1+'Tenure Split (WALES)'!C$118))</f>
        <v>#VALUE!</v>
      </c>
      <c r="W54" s="4" t="e">
        <f>V54*(1+'Tenure Split (WALES)'!D$118)</f>
        <v>#VALUE!</v>
      </c>
      <c r="X54" s="4" t="e">
        <f>W54*(1+'Tenure Split (WALES)'!E$118)</f>
        <v>#VALUE!</v>
      </c>
      <c r="Y54" s="4" t="e">
        <f>X54*(1+'Tenure Split (WALES)'!F$118)</f>
        <v>#VALUE!</v>
      </c>
      <c r="Z54" s="4" t="e">
        <f>Y54*(1+'Tenure Split (WALES)'!G$118)</f>
        <v>#VALUE!</v>
      </c>
      <c r="AB54" s="1">
        <v>60</v>
      </c>
      <c r="AC54" s="4">
        <f>IF('Tenure Split (WALES)'!$D$18="Land Registry Data",'House Prices (Wales)'!D54,'House Prices (Wales)'!V54)</f>
        <v>176885.76067041224</v>
      </c>
      <c r="AD54" s="4">
        <f>IF('Tenure Split (WALES)'!$D$18="Land Registry Data",'House Prices (Wales)'!E54,'House Prices (Wales)'!W54)</f>
        <v>177279.60649964679</v>
      </c>
      <c r="AE54" s="4">
        <f>IF('Tenure Split (WALES)'!$D$18="Land Registry Data",'House Prices (Wales)'!F54,'House Prices (Wales)'!X54)</f>
        <v>181095.44012124249</v>
      </c>
      <c r="AF54" s="4">
        <f>IF('Tenure Split (WALES)'!$D$18="Land Registry Data",'House Prices (Wales)'!G54,'House Prices (Wales)'!Y54)</f>
        <v>188158.01170892685</v>
      </c>
      <c r="AG54" s="4">
        <f>IF('Tenure Split (WALES)'!$D$18="Land Registry Data",'House Prices (Wales)'!H54,'House Prices (Wales)'!Z54)</f>
        <v>195962.79171623749</v>
      </c>
    </row>
    <row r="55" spans="2:33" x14ac:dyDescent="0.25">
      <c r="B55" s="20">
        <v>61</v>
      </c>
      <c r="C55" s="58">
        <v>175000</v>
      </c>
      <c r="D55" s="59">
        <f>C55*(1+'Tenure Split (WALES)'!C$118)</f>
        <v>179970.97742629153</v>
      </c>
      <c r="E55" s="59">
        <f>D55*(1+'Tenure Split (WALES)'!D$118)</f>
        <v>180371.69265952436</v>
      </c>
      <c r="F55" s="59">
        <f>E55*(1+'Tenure Split (WALES)'!E$118)</f>
        <v>184254.08151870602</v>
      </c>
      <c r="G55" s="59">
        <f>F55*(1+'Tenure Split (WALES)'!F$118)</f>
        <v>191439.83749454765</v>
      </c>
      <c r="H55" s="60">
        <f>G55*(1+'Tenure Split (WALES)'!G$118)</f>
        <v>199380.74738570675</v>
      </c>
      <c r="L55" s="64" t="str">
        <f t="shared" si="0"/>
        <v/>
      </c>
      <c r="M55" s="264"/>
      <c r="N55" s="14">
        <f t="shared" si="3"/>
        <v>1</v>
      </c>
      <c r="T55" s="1">
        <f t="shared" si="1"/>
        <v>61</v>
      </c>
      <c r="U55" s="4" t="str">
        <f t="shared" si="2"/>
        <v/>
      </c>
      <c r="V55" s="4" t="e">
        <f>IF($V$3=$M$3,M55,U55*(1+'Tenure Split (WALES)'!C$118))</f>
        <v>#VALUE!</v>
      </c>
      <c r="W55" s="4" t="e">
        <f>V55*(1+'Tenure Split (WALES)'!D$118)</f>
        <v>#VALUE!</v>
      </c>
      <c r="X55" s="4" t="e">
        <f>W55*(1+'Tenure Split (WALES)'!E$118)</f>
        <v>#VALUE!</v>
      </c>
      <c r="Y55" s="4" t="e">
        <f>X55*(1+'Tenure Split (WALES)'!F$118)</f>
        <v>#VALUE!</v>
      </c>
      <c r="Z55" s="4" t="e">
        <f>Y55*(1+'Tenure Split (WALES)'!G$118)</f>
        <v>#VALUE!</v>
      </c>
      <c r="AB55" s="1">
        <v>61</v>
      </c>
      <c r="AC55" s="4">
        <f>IF('Tenure Split (WALES)'!$D$18="Land Registry Data",'House Prices (Wales)'!D55,'House Prices (Wales)'!V55)</f>
        <v>179970.97742629153</v>
      </c>
      <c r="AD55" s="4">
        <f>IF('Tenure Split (WALES)'!$D$18="Land Registry Data",'House Prices (Wales)'!E55,'House Prices (Wales)'!W55)</f>
        <v>180371.69265952436</v>
      </c>
      <c r="AE55" s="4">
        <f>IF('Tenure Split (WALES)'!$D$18="Land Registry Data",'House Prices (Wales)'!F55,'House Prices (Wales)'!X55)</f>
        <v>184254.08151870602</v>
      </c>
      <c r="AF55" s="4">
        <f>IF('Tenure Split (WALES)'!$D$18="Land Registry Data",'House Prices (Wales)'!G55,'House Prices (Wales)'!Y55)</f>
        <v>191439.83749454765</v>
      </c>
      <c r="AG55" s="4">
        <f>IF('Tenure Split (WALES)'!$D$18="Land Registry Data",'House Prices (Wales)'!H55,'House Prices (Wales)'!Z55)</f>
        <v>199380.74738570675</v>
      </c>
    </row>
    <row r="56" spans="2:33" x14ac:dyDescent="0.25">
      <c r="B56" s="20">
        <v>62</v>
      </c>
      <c r="C56" s="58">
        <v>176000</v>
      </c>
      <c r="D56" s="59">
        <f>C56*(1+'Tenure Split (WALES)'!C$118)</f>
        <v>180999.38301158464</v>
      </c>
      <c r="E56" s="59">
        <f>D56*(1+'Tenure Split (WALES)'!D$118)</f>
        <v>181402.38804615021</v>
      </c>
      <c r="F56" s="59">
        <f>E56*(1+'Tenure Split (WALES)'!E$118)</f>
        <v>185306.96198452718</v>
      </c>
      <c r="G56" s="59">
        <f>F56*(1+'Tenure Split (WALES)'!F$118)</f>
        <v>192533.77942308792</v>
      </c>
      <c r="H56" s="60">
        <f>G56*(1+'Tenure Split (WALES)'!G$118)</f>
        <v>200520.0659421965</v>
      </c>
      <c r="L56" s="64" t="str">
        <f t="shared" si="0"/>
        <v/>
      </c>
      <c r="M56" s="264"/>
      <c r="N56" s="14">
        <f t="shared" si="3"/>
        <v>1</v>
      </c>
      <c r="T56" s="1">
        <f t="shared" si="1"/>
        <v>62</v>
      </c>
      <c r="U56" s="4" t="str">
        <f t="shared" si="2"/>
        <v/>
      </c>
      <c r="V56" s="4" t="e">
        <f>IF($V$3=$M$3,M56,U56*(1+'Tenure Split (WALES)'!C$118))</f>
        <v>#VALUE!</v>
      </c>
      <c r="W56" s="4" t="e">
        <f>V56*(1+'Tenure Split (WALES)'!D$118)</f>
        <v>#VALUE!</v>
      </c>
      <c r="X56" s="4" t="e">
        <f>W56*(1+'Tenure Split (WALES)'!E$118)</f>
        <v>#VALUE!</v>
      </c>
      <c r="Y56" s="4" t="e">
        <f>X56*(1+'Tenure Split (WALES)'!F$118)</f>
        <v>#VALUE!</v>
      </c>
      <c r="Z56" s="4" t="e">
        <f>Y56*(1+'Tenure Split (WALES)'!G$118)</f>
        <v>#VALUE!</v>
      </c>
      <c r="AB56" s="1">
        <v>62</v>
      </c>
      <c r="AC56" s="4">
        <f>IF('Tenure Split (WALES)'!$D$18="Land Registry Data",'House Prices (Wales)'!D56,'House Prices (Wales)'!V56)</f>
        <v>180999.38301158464</v>
      </c>
      <c r="AD56" s="4">
        <f>IF('Tenure Split (WALES)'!$D$18="Land Registry Data",'House Prices (Wales)'!E56,'House Prices (Wales)'!W56)</f>
        <v>181402.38804615021</v>
      </c>
      <c r="AE56" s="4">
        <f>IF('Tenure Split (WALES)'!$D$18="Land Registry Data",'House Prices (Wales)'!F56,'House Prices (Wales)'!X56)</f>
        <v>185306.96198452718</v>
      </c>
      <c r="AF56" s="4">
        <f>IF('Tenure Split (WALES)'!$D$18="Land Registry Data",'House Prices (Wales)'!G56,'House Prices (Wales)'!Y56)</f>
        <v>192533.77942308792</v>
      </c>
      <c r="AG56" s="4">
        <f>IF('Tenure Split (WALES)'!$D$18="Land Registry Data",'House Prices (Wales)'!H56,'House Prices (Wales)'!Z56)</f>
        <v>200520.0659421965</v>
      </c>
    </row>
    <row r="57" spans="2:33" x14ac:dyDescent="0.25">
      <c r="B57" s="20">
        <v>63</v>
      </c>
      <c r="C57" s="58">
        <v>179950</v>
      </c>
      <c r="D57" s="59">
        <f>C57*(1+'Tenure Split (WALES)'!C$118)</f>
        <v>185061.58507349234</v>
      </c>
      <c r="E57" s="59">
        <f>D57*(1+'Tenure Split (WALES)'!D$118)</f>
        <v>185473.63482332233</v>
      </c>
      <c r="F57" s="59">
        <f>E57*(1+'Tenure Split (WALES)'!E$118)</f>
        <v>189465.83982452084</v>
      </c>
      <c r="G57" s="59">
        <f>F57*(1+'Tenure Split (WALES)'!F$118)</f>
        <v>196854.850040822</v>
      </c>
      <c r="H57" s="60">
        <f>G57*(1+'Tenure Split (WALES)'!G$118)</f>
        <v>205020.37424033103</v>
      </c>
      <c r="L57" s="64" t="str">
        <f t="shared" si="0"/>
        <v/>
      </c>
      <c r="M57" s="264"/>
      <c r="N57" s="14">
        <f t="shared" si="3"/>
        <v>1</v>
      </c>
      <c r="T57" s="1">
        <f t="shared" si="1"/>
        <v>63</v>
      </c>
      <c r="U57" s="4" t="str">
        <f t="shared" si="2"/>
        <v/>
      </c>
      <c r="V57" s="4" t="e">
        <f>IF($V$3=$M$3,M57,U57*(1+'Tenure Split (WALES)'!C$118))</f>
        <v>#VALUE!</v>
      </c>
      <c r="W57" s="4" t="e">
        <f>V57*(1+'Tenure Split (WALES)'!D$118)</f>
        <v>#VALUE!</v>
      </c>
      <c r="X57" s="4" t="e">
        <f>W57*(1+'Tenure Split (WALES)'!E$118)</f>
        <v>#VALUE!</v>
      </c>
      <c r="Y57" s="4" t="e">
        <f>X57*(1+'Tenure Split (WALES)'!F$118)</f>
        <v>#VALUE!</v>
      </c>
      <c r="Z57" s="4" t="e">
        <f>Y57*(1+'Tenure Split (WALES)'!G$118)</f>
        <v>#VALUE!</v>
      </c>
      <c r="AB57" s="1">
        <v>63</v>
      </c>
      <c r="AC57" s="4">
        <f>IF('Tenure Split (WALES)'!$D$18="Land Registry Data",'House Prices (Wales)'!D57,'House Prices (Wales)'!V57)</f>
        <v>185061.58507349234</v>
      </c>
      <c r="AD57" s="4">
        <f>IF('Tenure Split (WALES)'!$D$18="Land Registry Data",'House Prices (Wales)'!E57,'House Prices (Wales)'!W57)</f>
        <v>185473.63482332233</v>
      </c>
      <c r="AE57" s="4">
        <f>IF('Tenure Split (WALES)'!$D$18="Land Registry Data",'House Prices (Wales)'!F57,'House Prices (Wales)'!X57)</f>
        <v>189465.83982452084</v>
      </c>
      <c r="AF57" s="4">
        <f>IF('Tenure Split (WALES)'!$D$18="Land Registry Data",'House Prices (Wales)'!G57,'House Prices (Wales)'!Y57)</f>
        <v>196854.850040822</v>
      </c>
      <c r="AG57" s="4">
        <f>IF('Tenure Split (WALES)'!$D$18="Land Registry Data",'House Prices (Wales)'!H57,'House Prices (Wales)'!Z57)</f>
        <v>205020.37424033103</v>
      </c>
    </row>
    <row r="58" spans="2:33" x14ac:dyDescent="0.25">
      <c r="B58" s="20">
        <v>64</v>
      </c>
      <c r="C58" s="58">
        <v>180000</v>
      </c>
      <c r="D58" s="59">
        <f>C58*(1+'Tenure Split (WALES)'!C$118)</f>
        <v>185113.005352757</v>
      </c>
      <c r="E58" s="59">
        <f>D58*(1+'Tenure Split (WALES)'!D$118)</f>
        <v>185525.1695926536</v>
      </c>
      <c r="F58" s="59">
        <f>E58*(1+'Tenure Split (WALES)'!E$118)</f>
        <v>189518.48384781188</v>
      </c>
      <c r="G58" s="59">
        <f>F58*(1+'Tenure Split (WALES)'!F$118)</f>
        <v>196909.54713724897</v>
      </c>
      <c r="H58" s="60">
        <f>G58*(1+'Tenure Split (WALES)'!G$118)</f>
        <v>205077.34016815547</v>
      </c>
      <c r="L58" s="64" t="str">
        <f t="shared" si="0"/>
        <v/>
      </c>
      <c r="M58" s="264"/>
      <c r="N58" s="14">
        <f t="shared" si="3"/>
        <v>1</v>
      </c>
      <c r="T58" s="1">
        <f t="shared" si="1"/>
        <v>64</v>
      </c>
      <c r="U58" s="4" t="str">
        <f t="shared" si="2"/>
        <v/>
      </c>
      <c r="V58" s="4" t="e">
        <f>IF($V$3=$M$3,M58,U58*(1+'Tenure Split (WALES)'!C$118))</f>
        <v>#VALUE!</v>
      </c>
      <c r="W58" s="4" t="e">
        <f>V58*(1+'Tenure Split (WALES)'!D$118)</f>
        <v>#VALUE!</v>
      </c>
      <c r="X58" s="4" t="e">
        <f>W58*(1+'Tenure Split (WALES)'!E$118)</f>
        <v>#VALUE!</v>
      </c>
      <c r="Y58" s="4" t="e">
        <f>X58*(1+'Tenure Split (WALES)'!F$118)</f>
        <v>#VALUE!</v>
      </c>
      <c r="Z58" s="4" t="e">
        <f>Y58*(1+'Tenure Split (WALES)'!G$118)</f>
        <v>#VALUE!</v>
      </c>
      <c r="AB58" s="1">
        <v>64</v>
      </c>
      <c r="AC58" s="4">
        <f>IF('Tenure Split (WALES)'!$D$18="Land Registry Data",'House Prices (Wales)'!D58,'House Prices (Wales)'!V58)</f>
        <v>185113.005352757</v>
      </c>
      <c r="AD58" s="4">
        <f>IF('Tenure Split (WALES)'!$D$18="Land Registry Data",'House Prices (Wales)'!E58,'House Prices (Wales)'!W58)</f>
        <v>185525.1695926536</v>
      </c>
      <c r="AE58" s="4">
        <f>IF('Tenure Split (WALES)'!$D$18="Land Registry Data",'House Prices (Wales)'!F58,'House Prices (Wales)'!X58)</f>
        <v>189518.48384781188</v>
      </c>
      <c r="AF58" s="4">
        <f>IF('Tenure Split (WALES)'!$D$18="Land Registry Data",'House Prices (Wales)'!G58,'House Prices (Wales)'!Y58)</f>
        <v>196909.54713724897</v>
      </c>
      <c r="AG58" s="4">
        <f>IF('Tenure Split (WALES)'!$D$18="Land Registry Data",'House Prices (Wales)'!H58,'House Prices (Wales)'!Z58)</f>
        <v>205077.34016815547</v>
      </c>
    </row>
    <row r="59" spans="2:33" x14ac:dyDescent="0.25">
      <c r="B59" s="20">
        <v>65</v>
      </c>
      <c r="C59" s="58">
        <v>185000</v>
      </c>
      <c r="D59" s="59">
        <f>C59*(1+'Tenure Split (WALES)'!C$118)</f>
        <v>190255.03327922247</v>
      </c>
      <c r="E59" s="59">
        <f>D59*(1+'Tenure Split (WALES)'!D$118)</f>
        <v>190678.64652578288</v>
      </c>
      <c r="F59" s="59">
        <f>E59*(1+'Tenure Split (WALES)'!E$118)</f>
        <v>194782.88617691779</v>
      </c>
      <c r="G59" s="59">
        <f>F59*(1+'Tenure Split (WALES)'!F$118)</f>
        <v>202379.25677995037</v>
      </c>
      <c r="H59" s="60">
        <f>G59*(1+'Tenure Split (WALES)'!G$118)</f>
        <v>210773.93295060427</v>
      </c>
      <c r="L59" s="64" t="str">
        <f t="shared" si="0"/>
        <v/>
      </c>
      <c r="M59" s="264"/>
      <c r="N59" s="14">
        <f t="shared" si="3"/>
        <v>1</v>
      </c>
      <c r="T59" s="1">
        <f t="shared" si="1"/>
        <v>65</v>
      </c>
      <c r="U59" s="4" t="str">
        <f t="shared" si="2"/>
        <v/>
      </c>
      <c r="V59" s="4" t="e">
        <f>IF($V$3=$M$3,M59,U59*(1+'Tenure Split (WALES)'!C$118))</f>
        <v>#VALUE!</v>
      </c>
      <c r="W59" s="4" t="e">
        <f>V59*(1+'Tenure Split (WALES)'!D$118)</f>
        <v>#VALUE!</v>
      </c>
      <c r="X59" s="4" t="e">
        <f>W59*(1+'Tenure Split (WALES)'!E$118)</f>
        <v>#VALUE!</v>
      </c>
      <c r="Y59" s="4" t="e">
        <f>X59*(1+'Tenure Split (WALES)'!F$118)</f>
        <v>#VALUE!</v>
      </c>
      <c r="Z59" s="4" t="e">
        <f>Y59*(1+'Tenure Split (WALES)'!G$118)</f>
        <v>#VALUE!</v>
      </c>
      <c r="AB59" s="1">
        <v>65</v>
      </c>
      <c r="AC59" s="4">
        <f>IF('Tenure Split (WALES)'!$D$18="Land Registry Data",'House Prices (Wales)'!D59,'House Prices (Wales)'!V59)</f>
        <v>190255.03327922247</v>
      </c>
      <c r="AD59" s="4">
        <f>IF('Tenure Split (WALES)'!$D$18="Land Registry Data",'House Prices (Wales)'!E59,'House Prices (Wales)'!W59)</f>
        <v>190678.64652578288</v>
      </c>
      <c r="AE59" s="4">
        <f>IF('Tenure Split (WALES)'!$D$18="Land Registry Data",'House Prices (Wales)'!F59,'House Prices (Wales)'!X59)</f>
        <v>194782.88617691779</v>
      </c>
      <c r="AF59" s="4">
        <f>IF('Tenure Split (WALES)'!$D$18="Land Registry Data",'House Prices (Wales)'!G59,'House Prices (Wales)'!Y59)</f>
        <v>202379.25677995037</v>
      </c>
      <c r="AG59" s="4">
        <f>IF('Tenure Split (WALES)'!$D$18="Land Registry Data",'House Prices (Wales)'!H59,'House Prices (Wales)'!Z59)</f>
        <v>210773.93295060427</v>
      </c>
    </row>
    <row r="60" spans="2:33" x14ac:dyDescent="0.25">
      <c r="B60" s="20">
        <v>66</v>
      </c>
      <c r="C60" s="58">
        <v>186000</v>
      </c>
      <c r="D60" s="59">
        <f>C60*(1+'Tenure Split (WALES)'!C$118)</f>
        <v>191283.43886451557</v>
      </c>
      <c r="E60" s="59">
        <f>D60*(1+'Tenure Split (WALES)'!D$118)</f>
        <v>191709.34191240874</v>
      </c>
      <c r="F60" s="59">
        <f>E60*(1+'Tenure Split (WALES)'!E$118)</f>
        <v>195835.76664273895</v>
      </c>
      <c r="G60" s="59">
        <f>F60*(1+'Tenure Split (WALES)'!F$118)</f>
        <v>203473.19870849061</v>
      </c>
      <c r="H60" s="60">
        <f>G60*(1+'Tenure Split (WALES)'!G$118)</f>
        <v>211913.25150709401</v>
      </c>
      <c r="L60" s="64" t="str">
        <f t="shared" si="0"/>
        <v/>
      </c>
      <c r="M60" s="264"/>
      <c r="N60" s="14">
        <f t="shared" si="3"/>
        <v>1</v>
      </c>
      <c r="T60" s="1">
        <f t="shared" si="1"/>
        <v>66</v>
      </c>
      <c r="U60" s="4" t="str">
        <f t="shared" si="2"/>
        <v/>
      </c>
      <c r="V60" s="4" t="e">
        <f>IF($V$3=$M$3,M60,U60*(1+'Tenure Split (WALES)'!C$118))</f>
        <v>#VALUE!</v>
      </c>
      <c r="W60" s="4" t="e">
        <f>V60*(1+'Tenure Split (WALES)'!D$118)</f>
        <v>#VALUE!</v>
      </c>
      <c r="X60" s="4" t="e">
        <f>W60*(1+'Tenure Split (WALES)'!E$118)</f>
        <v>#VALUE!</v>
      </c>
      <c r="Y60" s="4" t="e">
        <f>X60*(1+'Tenure Split (WALES)'!F$118)</f>
        <v>#VALUE!</v>
      </c>
      <c r="Z60" s="4" t="e">
        <f>Y60*(1+'Tenure Split (WALES)'!G$118)</f>
        <v>#VALUE!</v>
      </c>
      <c r="AB60" s="1">
        <v>66</v>
      </c>
      <c r="AC60" s="4">
        <f>IF('Tenure Split (WALES)'!$D$18="Land Registry Data",'House Prices (Wales)'!D60,'House Prices (Wales)'!V60)</f>
        <v>191283.43886451557</v>
      </c>
      <c r="AD60" s="4">
        <f>IF('Tenure Split (WALES)'!$D$18="Land Registry Data",'House Prices (Wales)'!E60,'House Prices (Wales)'!W60)</f>
        <v>191709.34191240874</v>
      </c>
      <c r="AE60" s="4">
        <f>IF('Tenure Split (WALES)'!$D$18="Land Registry Data",'House Prices (Wales)'!F60,'House Prices (Wales)'!X60)</f>
        <v>195835.76664273895</v>
      </c>
      <c r="AF60" s="4">
        <f>IF('Tenure Split (WALES)'!$D$18="Land Registry Data",'House Prices (Wales)'!G60,'House Prices (Wales)'!Y60)</f>
        <v>203473.19870849061</v>
      </c>
      <c r="AG60" s="4">
        <f>IF('Tenure Split (WALES)'!$D$18="Land Registry Data",'House Prices (Wales)'!H60,'House Prices (Wales)'!Z60)</f>
        <v>211913.25150709401</v>
      </c>
    </row>
    <row r="61" spans="2:33" x14ac:dyDescent="0.25">
      <c r="B61" s="20">
        <v>67</v>
      </c>
      <c r="C61" s="58">
        <v>190000</v>
      </c>
      <c r="D61" s="59">
        <f>C61*(1+'Tenure Split (WALES)'!C$118)</f>
        <v>195397.06120568793</v>
      </c>
      <c r="E61" s="59">
        <f>D61*(1+'Tenure Split (WALES)'!D$118)</f>
        <v>195832.12345891213</v>
      </c>
      <c r="F61" s="59">
        <f>E61*(1+'Tenure Split (WALES)'!E$118)</f>
        <v>200047.28850602364</v>
      </c>
      <c r="G61" s="59">
        <f>F61*(1+'Tenure Split (WALES)'!F$118)</f>
        <v>207848.96642265169</v>
      </c>
      <c r="H61" s="60">
        <f>G61*(1+'Tenure Split (WALES)'!G$118)</f>
        <v>216470.52573305299</v>
      </c>
      <c r="L61" s="64" t="str">
        <f t="shared" si="0"/>
        <v/>
      </c>
      <c r="M61" s="264"/>
      <c r="N61" s="14">
        <f t="shared" si="3"/>
        <v>1</v>
      </c>
      <c r="T61" s="1">
        <f t="shared" si="1"/>
        <v>67</v>
      </c>
      <c r="U61" s="4" t="str">
        <f t="shared" si="2"/>
        <v/>
      </c>
      <c r="V61" s="4" t="e">
        <f>IF($V$3=$M$3,M61,U61*(1+'Tenure Split (WALES)'!C$118))</f>
        <v>#VALUE!</v>
      </c>
      <c r="W61" s="4" t="e">
        <f>V61*(1+'Tenure Split (WALES)'!D$118)</f>
        <v>#VALUE!</v>
      </c>
      <c r="X61" s="4" t="e">
        <f>W61*(1+'Tenure Split (WALES)'!E$118)</f>
        <v>#VALUE!</v>
      </c>
      <c r="Y61" s="4" t="e">
        <f>X61*(1+'Tenure Split (WALES)'!F$118)</f>
        <v>#VALUE!</v>
      </c>
      <c r="Z61" s="4" t="e">
        <f>Y61*(1+'Tenure Split (WALES)'!G$118)</f>
        <v>#VALUE!</v>
      </c>
      <c r="AB61" s="1">
        <v>67</v>
      </c>
      <c r="AC61" s="4">
        <f>IF('Tenure Split (WALES)'!$D$18="Land Registry Data",'House Prices (Wales)'!D61,'House Prices (Wales)'!V61)</f>
        <v>195397.06120568793</v>
      </c>
      <c r="AD61" s="4">
        <f>IF('Tenure Split (WALES)'!$D$18="Land Registry Data",'House Prices (Wales)'!E61,'House Prices (Wales)'!W61)</f>
        <v>195832.12345891213</v>
      </c>
      <c r="AE61" s="4">
        <f>IF('Tenure Split (WALES)'!$D$18="Land Registry Data",'House Prices (Wales)'!F61,'House Prices (Wales)'!X61)</f>
        <v>200047.28850602364</v>
      </c>
      <c r="AF61" s="4">
        <f>IF('Tenure Split (WALES)'!$D$18="Land Registry Data",'House Prices (Wales)'!G61,'House Prices (Wales)'!Y61)</f>
        <v>207848.96642265169</v>
      </c>
      <c r="AG61" s="4">
        <f>IF('Tenure Split (WALES)'!$D$18="Land Registry Data",'House Prices (Wales)'!H61,'House Prices (Wales)'!Z61)</f>
        <v>216470.52573305299</v>
      </c>
    </row>
    <row r="62" spans="2:33" x14ac:dyDescent="0.25">
      <c r="B62" s="20">
        <v>68</v>
      </c>
      <c r="C62" s="58">
        <v>192000</v>
      </c>
      <c r="D62" s="59">
        <f>C62*(1+'Tenure Split (WALES)'!C$118)</f>
        <v>197453.87237627414</v>
      </c>
      <c r="E62" s="59">
        <f>D62*(1+'Tenure Split (WALES)'!D$118)</f>
        <v>197893.51423216387</v>
      </c>
      <c r="F62" s="59">
        <f>E62*(1+'Tenure Split (WALES)'!E$118)</f>
        <v>202153.04943766602</v>
      </c>
      <c r="G62" s="59">
        <f>F62*(1+'Tenure Split (WALES)'!F$118)</f>
        <v>210036.85027973226</v>
      </c>
      <c r="H62" s="60">
        <f>G62*(1+'Tenure Split (WALES)'!G$118)</f>
        <v>218749.16284603253</v>
      </c>
      <c r="L62" s="64" t="str">
        <f t="shared" si="0"/>
        <v/>
      </c>
      <c r="M62" s="264"/>
      <c r="N62" s="14">
        <f t="shared" si="3"/>
        <v>1</v>
      </c>
      <c r="T62" s="1">
        <f t="shared" si="1"/>
        <v>68</v>
      </c>
      <c r="U62" s="4" t="str">
        <f t="shared" si="2"/>
        <v/>
      </c>
      <c r="V62" s="4" t="e">
        <f>IF($V$3=$M$3,M62,U62*(1+'Tenure Split (WALES)'!C$118))</f>
        <v>#VALUE!</v>
      </c>
      <c r="W62" s="4" t="e">
        <f>V62*(1+'Tenure Split (WALES)'!D$118)</f>
        <v>#VALUE!</v>
      </c>
      <c r="X62" s="4" t="e">
        <f>W62*(1+'Tenure Split (WALES)'!E$118)</f>
        <v>#VALUE!</v>
      </c>
      <c r="Y62" s="4" t="e">
        <f>X62*(1+'Tenure Split (WALES)'!F$118)</f>
        <v>#VALUE!</v>
      </c>
      <c r="Z62" s="4" t="e">
        <f>Y62*(1+'Tenure Split (WALES)'!G$118)</f>
        <v>#VALUE!</v>
      </c>
      <c r="AB62" s="1">
        <v>68</v>
      </c>
      <c r="AC62" s="4">
        <f>IF('Tenure Split (WALES)'!$D$18="Land Registry Data",'House Prices (Wales)'!D62,'House Prices (Wales)'!V62)</f>
        <v>197453.87237627414</v>
      </c>
      <c r="AD62" s="4">
        <f>IF('Tenure Split (WALES)'!$D$18="Land Registry Data",'House Prices (Wales)'!E62,'House Prices (Wales)'!W62)</f>
        <v>197893.51423216387</v>
      </c>
      <c r="AE62" s="4">
        <f>IF('Tenure Split (WALES)'!$D$18="Land Registry Data",'House Prices (Wales)'!F62,'House Prices (Wales)'!X62)</f>
        <v>202153.04943766602</v>
      </c>
      <c r="AF62" s="4">
        <f>IF('Tenure Split (WALES)'!$D$18="Land Registry Data",'House Prices (Wales)'!G62,'House Prices (Wales)'!Y62)</f>
        <v>210036.85027973226</v>
      </c>
      <c r="AG62" s="4">
        <f>IF('Tenure Split (WALES)'!$D$18="Land Registry Data",'House Prices (Wales)'!H62,'House Prices (Wales)'!Z62)</f>
        <v>218749.16284603253</v>
      </c>
    </row>
    <row r="63" spans="2:33" x14ac:dyDescent="0.25">
      <c r="B63" s="20">
        <v>69</v>
      </c>
      <c r="C63" s="58">
        <v>195000</v>
      </c>
      <c r="D63" s="59">
        <f>C63*(1+'Tenure Split (WALES)'!C$118)</f>
        <v>200539.08913215343</v>
      </c>
      <c r="E63" s="59">
        <f>D63*(1+'Tenure Split (WALES)'!D$118)</f>
        <v>200985.60039204144</v>
      </c>
      <c r="F63" s="59">
        <f>E63*(1+'Tenure Split (WALES)'!E$118)</f>
        <v>205311.69083512956</v>
      </c>
      <c r="G63" s="59">
        <f>F63*(1+'Tenure Split (WALES)'!F$118)</f>
        <v>213318.67606535309</v>
      </c>
      <c r="H63" s="60">
        <f>G63*(1+'Tenure Split (WALES)'!G$118)</f>
        <v>222167.11851550182</v>
      </c>
      <c r="L63" s="64" t="str">
        <f t="shared" si="0"/>
        <v/>
      </c>
      <c r="M63" s="264"/>
      <c r="N63" s="14">
        <f t="shared" si="3"/>
        <v>1</v>
      </c>
      <c r="T63" s="1">
        <f t="shared" si="1"/>
        <v>69</v>
      </c>
      <c r="U63" s="4" t="str">
        <f t="shared" si="2"/>
        <v/>
      </c>
      <c r="V63" s="4" t="e">
        <f>IF($V$3=$M$3,M63,U63*(1+'Tenure Split (WALES)'!C$118))</f>
        <v>#VALUE!</v>
      </c>
      <c r="W63" s="4" t="e">
        <f>V63*(1+'Tenure Split (WALES)'!D$118)</f>
        <v>#VALUE!</v>
      </c>
      <c r="X63" s="4" t="e">
        <f>W63*(1+'Tenure Split (WALES)'!E$118)</f>
        <v>#VALUE!</v>
      </c>
      <c r="Y63" s="4" t="e">
        <f>X63*(1+'Tenure Split (WALES)'!F$118)</f>
        <v>#VALUE!</v>
      </c>
      <c r="Z63" s="4" t="e">
        <f>Y63*(1+'Tenure Split (WALES)'!G$118)</f>
        <v>#VALUE!</v>
      </c>
      <c r="AB63" s="1">
        <v>69</v>
      </c>
      <c r="AC63" s="4">
        <f>IF('Tenure Split (WALES)'!$D$18="Land Registry Data",'House Prices (Wales)'!D63,'House Prices (Wales)'!V63)</f>
        <v>200539.08913215343</v>
      </c>
      <c r="AD63" s="4">
        <f>IF('Tenure Split (WALES)'!$D$18="Land Registry Data",'House Prices (Wales)'!E63,'House Prices (Wales)'!W63)</f>
        <v>200985.60039204144</v>
      </c>
      <c r="AE63" s="4">
        <f>IF('Tenure Split (WALES)'!$D$18="Land Registry Data",'House Prices (Wales)'!F63,'House Prices (Wales)'!X63)</f>
        <v>205311.69083512956</v>
      </c>
      <c r="AF63" s="4">
        <f>IF('Tenure Split (WALES)'!$D$18="Land Registry Data",'House Prices (Wales)'!G63,'House Prices (Wales)'!Y63)</f>
        <v>213318.67606535309</v>
      </c>
      <c r="AG63" s="4">
        <f>IF('Tenure Split (WALES)'!$D$18="Land Registry Data",'House Prices (Wales)'!H63,'House Prices (Wales)'!Z63)</f>
        <v>222167.11851550182</v>
      </c>
    </row>
    <row r="64" spans="2:33" x14ac:dyDescent="0.25">
      <c r="B64" s="20">
        <v>70</v>
      </c>
      <c r="C64" s="58">
        <v>199950</v>
      </c>
      <c r="D64" s="59">
        <f>C64*(1+'Tenure Split (WALES)'!C$118)</f>
        <v>205629.69677935424</v>
      </c>
      <c r="E64" s="59">
        <f>D64*(1+'Tenure Split (WALES)'!D$118)</f>
        <v>206087.54255583941</v>
      </c>
      <c r="F64" s="59">
        <f>E64*(1+'Tenure Split (WALES)'!E$118)</f>
        <v>210523.4491409444</v>
      </c>
      <c r="G64" s="59">
        <f>F64*(1+'Tenure Split (WALES)'!F$118)</f>
        <v>218733.68861162747</v>
      </c>
      <c r="H64" s="60">
        <f>G64*(1+'Tenure Split (WALES)'!G$118)</f>
        <v>227806.74537012613</v>
      </c>
      <c r="L64" s="64" t="str">
        <f t="shared" si="0"/>
        <v/>
      </c>
      <c r="M64" s="264"/>
      <c r="N64" s="14">
        <f t="shared" si="3"/>
        <v>1</v>
      </c>
      <c r="T64" s="1">
        <f t="shared" si="1"/>
        <v>70</v>
      </c>
      <c r="U64" s="4" t="str">
        <f t="shared" si="2"/>
        <v/>
      </c>
      <c r="V64" s="4" t="e">
        <f>IF($V$3=$M$3,M64,U64*(1+'Tenure Split (WALES)'!C$118))</f>
        <v>#VALUE!</v>
      </c>
      <c r="W64" s="4" t="e">
        <f>V64*(1+'Tenure Split (WALES)'!D$118)</f>
        <v>#VALUE!</v>
      </c>
      <c r="X64" s="4" t="e">
        <f>W64*(1+'Tenure Split (WALES)'!E$118)</f>
        <v>#VALUE!</v>
      </c>
      <c r="Y64" s="4" t="e">
        <f>X64*(1+'Tenure Split (WALES)'!F$118)</f>
        <v>#VALUE!</v>
      </c>
      <c r="Z64" s="4" t="e">
        <f>Y64*(1+'Tenure Split (WALES)'!G$118)</f>
        <v>#VALUE!</v>
      </c>
      <c r="AB64" s="1">
        <v>70</v>
      </c>
      <c r="AC64" s="4">
        <f>IF('Tenure Split (WALES)'!$D$18="Land Registry Data",'House Prices (Wales)'!D64,'House Prices (Wales)'!V64)</f>
        <v>205629.69677935424</v>
      </c>
      <c r="AD64" s="4">
        <f>IF('Tenure Split (WALES)'!$D$18="Land Registry Data",'House Prices (Wales)'!E64,'House Prices (Wales)'!W64)</f>
        <v>206087.54255583941</v>
      </c>
      <c r="AE64" s="4">
        <f>IF('Tenure Split (WALES)'!$D$18="Land Registry Data",'House Prices (Wales)'!F64,'House Prices (Wales)'!X64)</f>
        <v>210523.4491409444</v>
      </c>
      <c r="AF64" s="4">
        <f>IF('Tenure Split (WALES)'!$D$18="Land Registry Data",'House Prices (Wales)'!G64,'House Prices (Wales)'!Y64)</f>
        <v>218733.68861162747</v>
      </c>
      <c r="AG64" s="4">
        <f>IF('Tenure Split (WALES)'!$D$18="Land Registry Data",'House Prices (Wales)'!H64,'House Prices (Wales)'!Z64)</f>
        <v>227806.74537012613</v>
      </c>
    </row>
    <row r="65" spans="2:33" x14ac:dyDescent="0.25">
      <c r="B65" s="20">
        <v>71</v>
      </c>
      <c r="C65" s="58">
        <v>201500</v>
      </c>
      <c r="D65" s="59">
        <f>C65*(1+'Tenure Split (WALES)'!C$118)</f>
        <v>207223.72543655854</v>
      </c>
      <c r="E65" s="59">
        <f>D65*(1+'Tenure Split (WALES)'!D$118)</f>
        <v>207685.12040510945</v>
      </c>
      <c r="F65" s="59">
        <f>E65*(1+'Tenure Split (WALES)'!E$118)</f>
        <v>212155.41386296719</v>
      </c>
      <c r="G65" s="59">
        <f>F65*(1+'Tenure Split (WALES)'!F$118)</f>
        <v>220429.29860086486</v>
      </c>
      <c r="H65" s="60">
        <f>G65*(1+'Tenure Split (WALES)'!G$118)</f>
        <v>229572.68913268519</v>
      </c>
      <c r="L65" s="64" t="str">
        <f t="shared" si="0"/>
        <v/>
      </c>
      <c r="M65" s="264"/>
      <c r="N65" s="14">
        <f t="shared" si="3"/>
        <v>1</v>
      </c>
      <c r="T65" s="1">
        <f t="shared" si="1"/>
        <v>71</v>
      </c>
      <c r="U65" s="4" t="str">
        <f t="shared" si="2"/>
        <v/>
      </c>
      <c r="V65" s="4" t="e">
        <f>IF($V$3=$M$3,M65,U65*(1+'Tenure Split (WALES)'!C$118))</f>
        <v>#VALUE!</v>
      </c>
      <c r="W65" s="4" t="e">
        <f>V65*(1+'Tenure Split (WALES)'!D$118)</f>
        <v>#VALUE!</v>
      </c>
      <c r="X65" s="4" t="e">
        <f>W65*(1+'Tenure Split (WALES)'!E$118)</f>
        <v>#VALUE!</v>
      </c>
      <c r="Y65" s="4" t="e">
        <f>X65*(1+'Tenure Split (WALES)'!F$118)</f>
        <v>#VALUE!</v>
      </c>
      <c r="Z65" s="4" t="e">
        <f>Y65*(1+'Tenure Split (WALES)'!G$118)</f>
        <v>#VALUE!</v>
      </c>
      <c r="AB65" s="1">
        <v>71</v>
      </c>
      <c r="AC65" s="4">
        <f>IF('Tenure Split (WALES)'!$D$18="Land Registry Data",'House Prices (Wales)'!D65,'House Prices (Wales)'!V65)</f>
        <v>207223.72543655854</v>
      </c>
      <c r="AD65" s="4">
        <f>IF('Tenure Split (WALES)'!$D$18="Land Registry Data",'House Prices (Wales)'!E65,'House Prices (Wales)'!W65)</f>
        <v>207685.12040510945</v>
      </c>
      <c r="AE65" s="4">
        <f>IF('Tenure Split (WALES)'!$D$18="Land Registry Data",'House Prices (Wales)'!F65,'House Prices (Wales)'!X65)</f>
        <v>212155.41386296719</v>
      </c>
      <c r="AF65" s="4">
        <f>IF('Tenure Split (WALES)'!$D$18="Land Registry Data",'House Prices (Wales)'!G65,'House Prices (Wales)'!Y65)</f>
        <v>220429.29860086486</v>
      </c>
      <c r="AG65" s="4">
        <f>IF('Tenure Split (WALES)'!$D$18="Land Registry Data",'House Prices (Wales)'!H65,'House Prices (Wales)'!Z65)</f>
        <v>229572.68913268519</v>
      </c>
    </row>
    <row r="66" spans="2:33" x14ac:dyDescent="0.25">
      <c r="B66" s="20">
        <v>72</v>
      </c>
      <c r="C66" s="58">
        <v>205000</v>
      </c>
      <c r="D66" s="59">
        <f>C66*(1+'Tenure Split (WALES)'!C$118)</f>
        <v>210823.14498508436</v>
      </c>
      <c r="E66" s="59">
        <f>D66*(1+'Tenure Split (WALES)'!D$118)</f>
        <v>211292.55425829993</v>
      </c>
      <c r="F66" s="59">
        <f>E66*(1+'Tenure Split (WALES)'!E$118)</f>
        <v>215840.4954933413</v>
      </c>
      <c r="G66" s="59">
        <f>F66*(1+'Tenure Split (WALES)'!F$118)</f>
        <v>224258.09535075579</v>
      </c>
      <c r="H66" s="60">
        <f>G66*(1+'Tenure Split (WALES)'!G$118)</f>
        <v>233560.30408039931</v>
      </c>
      <c r="L66" s="64" t="str">
        <f t="shared" si="0"/>
        <v/>
      </c>
      <c r="M66" s="264"/>
      <c r="N66" s="14">
        <f t="shared" si="3"/>
        <v>1</v>
      </c>
      <c r="T66" s="1">
        <f t="shared" si="1"/>
        <v>72</v>
      </c>
      <c r="U66" s="4" t="str">
        <f t="shared" si="2"/>
        <v/>
      </c>
      <c r="V66" s="4" t="e">
        <f>IF($V$3=$M$3,M66,U66*(1+'Tenure Split (WALES)'!C$118))</f>
        <v>#VALUE!</v>
      </c>
      <c r="W66" s="4" t="e">
        <f>V66*(1+'Tenure Split (WALES)'!D$118)</f>
        <v>#VALUE!</v>
      </c>
      <c r="X66" s="4" t="e">
        <f>W66*(1+'Tenure Split (WALES)'!E$118)</f>
        <v>#VALUE!</v>
      </c>
      <c r="Y66" s="4" t="e">
        <f>X66*(1+'Tenure Split (WALES)'!F$118)</f>
        <v>#VALUE!</v>
      </c>
      <c r="Z66" s="4" t="e">
        <f>Y66*(1+'Tenure Split (WALES)'!G$118)</f>
        <v>#VALUE!</v>
      </c>
      <c r="AB66" s="1">
        <v>72</v>
      </c>
      <c r="AC66" s="4">
        <f>IF('Tenure Split (WALES)'!$D$18="Land Registry Data",'House Prices (Wales)'!D66,'House Prices (Wales)'!V66)</f>
        <v>210823.14498508436</v>
      </c>
      <c r="AD66" s="4">
        <f>IF('Tenure Split (WALES)'!$D$18="Land Registry Data",'House Prices (Wales)'!E66,'House Prices (Wales)'!W66)</f>
        <v>211292.55425829993</v>
      </c>
      <c r="AE66" s="4">
        <f>IF('Tenure Split (WALES)'!$D$18="Land Registry Data",'House Prices (Wales)'!F66,'House Prices (Wales)'!X66)</f>
        <v>215840.4954933413</v>
      </c>
      <c r="AF66" s="4">
        <f>IF('Tenure Split (WALES)'!$D$18="Land Registry Data",'House Prices (Wales)'!G66,'House Prices (Wales)'!Y66)</f>
        <v>224258.09535075579</v>
      </c>
      <c r="AG66" s="4">
        <f>IF('Tenure Split (WALES)'!$D$18="Land Registry Data",'House Prices (Wales)'!H66,'House Prices (Wales)'!Z66)</f>
        <v>233560.30408039931</v>
      </c>
    </row>
    <row r="67" spans="2:33" x14ac:dyDescent="0.25">
      <c r="B67" s="20">
        <v>73</v>
      </c>
      <c r="C67" s="58">
        <v>210000</v>
      </c>
      <c r="D67" s="59">
        <f>C67*(1+'Tenure Split (WALES)'!C$118)</f>
        <v>215965.17291154983</v>
      </c>
      <c r="E67" s="59">
        <f>D67*(1+'Tenure Split (WALES)'!D$118)</f>
        <v>216446.03119142921</v>
      </c>
      <c r="F67" s="59">
        <f>E67*(1+'Tenure Split (WALES)'!E$118)</f>
        <v>221104.89782244721</v>
      </c>
      <c r="G67" s="59">
        <f>F67*(1+'Tenure Split (WALES)'!F$118)</f>
        <v>229727.80499345716</v>
      </c>
      <c r="H67" s="60">
        <f>G67*(1+'Tenure Split (WALES)'!G$118)</f>
        <v>239256.89686284808</v>
      </c>
      <c r="L67" s="64" t="str">
        <f t="shared" si="0"/>
        <v/>
      </c>
      <c r="M67" s="264"/>
      <c r="N67" s="14">
        <f t="shared" si="3"/>
        <v>1</v>
      </c>
      <c r="T67" s="1">
        <f t="shared" si="1"/>
        <v>73</v>
      </c>
      <c r="U67" s="4" t="str">
        <f t="shared" si="2"/>
        <v/>
      </c>
      <c r="V67" s="4" t="e">
        <f>IF($V$3=$M$3,M67,U67*(1+'Tenure Split (WALES)'!C$118))</f>
        <v>#VALUE!</v>
      </c>
      <c r="W67" s="4" t="e">
        <f>V67*(1+'Tenure Split (WALES)'!D$118)</f>
        <v>#VALUE!</v>
      </c>
      <c r="X67" s="4" t="e">
        <f>W67*(1+'Tenure Split (WALES)'!E$118)</f>
        <v>#VALUE!</v>
      </c>
      <c r="Y67" s="4" t="e">
        <f>X67*(1+'Tenure Split (WALES)'!F$118)</f>
        <v>#VALUE!</v>
      </c>
      <c r="Z67" s="4" t="e">
        <f>Y67*(1+'Tenure Split (WALES)'!G$118)</f>
        <v>#VALUE!</v>
      </c>
      <c r="AB67" s="1">
        <v>73</v>
      </c>
      <c r="AC67" s="4">
        <f>IF('Tenure Split (WALES)'!$D$18="Land Registry Data",'House Prices (Wales)'!D67,'House Prices (Wales)'!V67)</f>
        <v>215965.17291154983</v>
      </c>
      <c r="AD67" s="4">
        <f>IF('Tenure Split (WALES)'!$D$18="Land Registry Data",'House Prices (Wales)'!E67,'House Prices (Wales)'!W67)</f>
        <v>216446.03119142921</v>
      </c>
      <c r="AE67" s="4">
        <f>IF('Tenure Split (WALES)'!$D$18="Land Registry Data",'House Prices (Wales)'!F67,'House Prices (Wales)'!X67)</f>
        <v>221104.89782244721</v>
      </c>
      <c r="AF67" s="4">
        <f>IF('Tenure Split (WALES)'!$D$18="Land Registry Data",'House Prices (Wales)'!G67,'House Prices (Wales)'!Y67)</f>
        <v>229727.80499345716</v>
      </c>
      <c r="AG67" s="4">
        <f>IF('Tenure Split (WALES)'!$D$18="Land Registry Data",'House Prices (Wales)'!H67,'House Prices (Wales)'!Z67)</f>
        <v>239256.89686284808</v>
      </c>
    </row>
    <row r="68" spans="2:33" x14ac:dyDescent="0.25">
      <c r="B68" s="20">
        <v>74</v>
      </c>
      <c r="C68" s="58">
        <v>215000</v>
      </c>
      <c r="D68" s="59">
        <f>C68*(1+'Tenure Split (WALES)'!C$118)</f>
        <v>221107.2008380153</v>
      </c>
      <c r="E68" s="59">
        <f>D68*(1+'Tenure Split (WALES)'!D$118)</f>
        <v>221599.50812455846</v>
      </c>
      <c r="F68" s="59">
        <f>E68*(1+'Tenure Split (WALES)'!E$118)</f>
        <v>226369.30015155306</v>
      </c>
      <c r="G68" s="59">
        <f>F68*(1+'Tenure Split (WALES)'!F$118)</f>
        <v>235197.51463615851</v>
      </c>
      <c r="H68" s="60">
        <f>G68*(1+'Tenure Split (WALES)'!G$118)</f>
        <v>244953.48964529682</v>
      </c>
      <c r="L68" s="64" t="str">
        <f t="shared" ref="L68:L84" si="4">IF(ISBLANK($K$4),"",B68)</f>
        <v/>
      </c>
      <c r="M68" s="264"/>
      <c r="N68" s="14">
        <f t="shared" si="3"/>
        <v>1</v>
      </c>
      <c r="T68" s="1">
        <f t="shared" ref="T68:T84" si="5">B68</f>
        <v>74</v>
      </c>
      <c r="U68" s="4" t="str">
        <f t="shared" ref="U68:U84" si="6">IF($M$3=$U$3,M68,"")</f>
        <v/>
      </c>
      <c r="V68" s="4" t="e">
        <f>IF($V$3=$M$3,M68,U68*(1+'Tenure Split (WALES)'!C$118))</f>
        <v>#VALUE!</v>
      </c>
      <c r="W68" s="4" t="e">
        <f>V68*(1+'Tenure Split (WALES)'!D$118)</f>
        <v>#VALUE!</v>
      </c>
      <c r="X68" s="4" t="e">
        <f>W68*(1+'Tenure Split (WALES)'!E$118)</f>
        <v>#VALUE!</v>
      </c>
      <c r="Y68" s="4" t="e">
        <f>X68*(1+'Tenure Split (WALES)'!F$118)</f>
        <v>#VALUE!</v>
      </c>
      <c r="Z68" s="4" t="e">
        <f>Y68*(1+'Tenure Split (WALES)'!G$118)</f>
        <v>#VALUE!</v>
      </c>
      <c r="AB68" s="1">
        <v>74</v>
      </c>
      <c r="AC68" s="4">
        <f>IF('Tenure Split (WALES)'!$D$18="Land Registry Data",'House Prices (Wales)'!D68,'House Prices (Wales)'!V68)</f>
        <v>221107.2008380153</v>
      </c>
      <c r="AD68" s="4">
        <f>IF('Tenure Split (WALES)'!$D$18="Land Registry Data",'House Prices (Wales)'!E68,'House Prices (Wales)'!W68)</f>
        <v>221599.50812455846</v>
      </c>
      <c r="AE68" s="4">
        <f>IF('Tenure Split (WALES)'!$D$18="Land Registry Data",'House Prices (Wales)'!F68,'House Prices (Wales)'!X68)</f>
        <v>226369.30015155306</v>
      </c>
      <c r="AF68" s="4">
        <f>IF('Tenure Split (WALES)'!$D$18="Land Registry Data",'House Prices (Wales)'!G68,'House Prices (Wales)'!Y68)</f>
        <v>235197.51463615851</v>
      </c>
      <c r="AG68" s="4">
        <f>IF('Tenure Split (WALES)'!$D$18="Land Registry Data",'House Prices (Wales)'!H68,'House Prices (Wales)'!Z68)</f>
        <v>244953.48964529682</v>
      </c>
    </row>
    <row r="69" spans="2:33" x14ac:dyDescent="0.25">
      <c r="B69" s="20">
        <v>75</v>
      </c>
      <c r="C69" s="58">
        <v>218000</v>
      </c>
      <c r="D69" s="59">
        <f>C69*(1+'Tenure Split (WALES)'!C$118)</f>
        <v>224192.41759389458</v>
      </c>
      <c r="E69" s="59">
        <f>D69*(1+'Tenure Split (WALES)'!D$118)</f>
        <v>224691.59428443603</v>
      </c>
      <c r="F69" s="59">
        <f>E69*(1+'Tenure Split (WALES)'!E$118)</f>
        <v>229527.9415490166</v>
      </c>
      <c r="G69" s="59">
        <f>F69*(1+'Tenure Split (WALES)'!F$118)</f>
        <v>238479.34042177931</v>
      </c>
      <c r="H69" s="60">
        <f>G69*(1+'Tenure Split (WALES)'!G$118)</f>
        <v>248371.44531476608</v>
      </c>
      <c r="L69" s="64" t="str">
        <f t="shared" si="4"/>
        <v/>
      </c>
      <c r="M69" s="264"/>
      <c r="N69" s="14">
        <f t="shared" ref="N69:N84" si="7">IF(ISBLANK(M69),1,0)</f>
        <v>1</v>
      </c>
      <c r="T69" s="1">
        <f t="shared" si="5"/>
        <v>75</v>
      </c>
      <c r="U69" s="4" t="str">
        <f t="shared" si="6"/>
        <v/>
      </c>
      <c r="V69" s="4" t="e">
        <f>IF($V$3=$M$3,M69,U69*(1+'Tenure Split (WALES)'!C$118))</f>
        <v>#VALUE!</v>
      </c>
      <c r="W69" s="4" t="e">
        <f>V69*(1+'Tenure Split (WALES)'!D$118)</f>
        <v>#VALUE!</v>
      </c>
      <c r="X69" s="4" t="e">
        <f>W69*(1+'Tenure Split (WALES)'!E$118)</f>
        <v>#VALUE!</v>
      </c>
      <c r="Y69" s="4" t="e">
        <f>X69*(1+'Tenure Split (WALES)'!F$118)</f>
        <v>#VALUE!</v>
      </c>
      <c r="Z69" s="4" t="e">
        <f>Y69*(1+'Tenure Split (WALES)'!G$118)</f>
        <v>#VALUE!</v>
      </c>
      <c r="AB69" s="1">
        <v>75</v>
      </c>
      <c r="AC69" s="4">
        <f>IF('Tenure Split (WALES)'!$D$18="Land Registry Data",'House Prices (Wales)'!D69,'House Prices (Wales)'!V69)</f>
        <v>224192.41759389458</v>
      </c>
      <c r="AD69" s="4">
        <f>IF('Tenure Split (WALES)'!$D$18="Land Registry Data",'House Prices (Wales)'!E69,'House Prices (Wales)'!W69)</f>
        <v>224691.59428443603</v>
      </c>
      <c r="AE69" s="4">
        <f>IF('Tenure Split (WALES)'!$D$18="Land Registry Data",'House Prices (Wales)'!F69,'House Prices (Wales)'!X69)</f>
        <v>229527.9415490166</v>
      </c>
      <c r="AF69" s="4">
        <f>IF('Tenure Split (WALES)'!$D$18="Land Registry Data",'House Prices (Wales)'!G69,'House Prices (Wales)'!Y69)</f>
        <v>238479.34042177931</v>
      </c>
      <c r="AG69" s="4">
        <f>IF('Tenure Split (WALES)'!$D$18="Land Registry Data",'House Prices (Wales)'!H69,'House Prices (Wales)'!Z69)</f>
        <v>248371.44531476608</v>
      </c>
    </row>
    <row r="70" spans="2:33" x14ac:dyDescent="0.25">
      <c r="B70" s="20">
        <v>76</v>
      </c>
      <c r="C70" s="58">
        <v>220995</v>
      </c>
      <c r="D70" s="59">
        <f>C70*(1+'Tenure Split (WALES)'!C$118)</f>
        <v>227272.49232184741</v>
      </c>
      <c r="E70" s="59">
        <f>D70*(1+'Tenure Split (WALES)'!D$118)</f>
        <v>227778.52696738049</v>
      </c>
      <c r="F70" s="59">
        <f>E70*(1+'Tenure Split (WALES)'!E$118)</f>
        <v>232681.31854415106</v>
      </c>
      <c r="G70" s="59">
        <f>F70*(1+'Tenure Split (WALES)'!F$118)</f>
        <v>241755.69649775748</v>
      </c>
      <c r="H70" s="60">
        <f>G70*(1+'Tenure Split (WALES)'!G$118)</f>
        <v>251783.70439145295</v>
      </c>
      <c r="L70" s="64" t="str">
        <f t="shared" si="4"/>
        <v/>
      </c>
      <c r="M70" s="264"/>
      <c r="N70" s="14">
        <f t="shared" si="7"/>
        <v>1</v>
      </c>
      <c r="T70" s="1">
        <f t="shared" si="5"/>
        <v>76</v>
      </c>
      <c r="U70" s="4" t="str">
        <f t="shared" si="6"/>
        <v/>
      </c>
      <c r="V70" s="4" t="e">
        <f>IF($V$3=$M$3,M70,U70*(1+'Tenure Split (WALES)'!C$118))</f>
        <v>#VALUE!</v>
      </c>
      <c r="W70" s="4" t="e">
        <f>V70*(1+'Tenure Split (WALES)'!D$118)</f>
        <v>#VALUE!</v>
      </c>
      <c r="X70" s="4" t="e">
        <f>W70*(1+'Tenure Split (WALES)'!E$118)</f>
        <v>#VALUE!</v>
      </c>
      <c r="Y70" s="4" t="e">
        <f>X70*(1+'Tenure Split (WALES)'!F$118)</f>
        <v>#VALUE!</v>
      </c>
      <c r="Z70" s="4" t="e">
        <f>Y70*(1+'Tenure Split (WALES)'!G$118)</f>
        <v>#VALUE!</v>
      </c>
      <c r="AB70" s="1">
        <v>76</v>
      </c>
      <c r="AC70" s="4">
        <f>IF('Tenure Split (WALES)'!$D$18="Land Registry Data",'House Prices (Wales)'!D70,'House Prices (Wales)'!V70)</f>
        <v>227272.49232184741</v>
      </c>
      <c r="AD70" s="4">
        <f>IF('Tenure Split (WALES)'!$D$18="Land Registry Data",'House Prices (Wales)'!E70,'House Prices (Wales)'!W70)</f>
        <v>227778.52696738049</v>
      </c>
      <c r="AE70" s="4">
        <f>IF('Tenure Split (WALES)'!$D$18="Land Registry Data",'House Prices (Wales)'!F70,'House Prices (Wales)'!X70)</f>
        <v>232681.31854415106</v>
      </c>
      <c r="AF70" s="4">
        <f>IF('Tenure Split (WALES)'!$D$18="Land Registry Data",'House Prices (Wales)'!G70,'House Prices (Wales)'!Y70)</f>
        <v>241755.69649775748</v>
      </c>
      <c r="AG70" s="4">
        <f>IF('Tenure Split (WALES)'!$D$18="Land Registry Data",'House Prices (Wales)'!H70,'House Prices (Wales)'!Z70)</f>
        <v>251783.70439145295</v>
      </c>
    </row>
    <row r="71" spans="2:33" x14ac:dyDescent="0.25">
      <c r="B71" s="20">
        <v>77</v>
      </c>
      <c r="C71" s="58">
        <v>225000</v>
      </c>
      <c r="D71" s="59">
        <f>C71*(1+'Tenure Split (WALES)'!C$118)</f>
        <v>231391.25669094626</v>
      </c>
      <c r="E71" s="59">
        <f>D71*(1+'Tenure Split (WALES)'!D$118)</f>
        <v>231906.46199081701</v>
      </c>
      <c r="F71" s="59">
        <f>E71*(1+'Tenure Split (WALES)'!E$118)</f>
        <v>236898.10480976486</v>
      </c>
      <c r="G71" s="59">
        <f>F71*(1+'Tenure Split (WALES)'!F$118)</f>
        <v>246136.93392156126</v>
      </c>
      <c r="H71" s="60">
        <f>G71*(1+'Tenure Split (WALES)'!G$118)</f>
        <v>256346.6752101944</v>
      </c>
      <c r="L71" s="64" t="str">
        <f t="shared" si="4"/>
        <v/>
      </c>
      <c r="M71" s="264"/>
      <c r="N71" s="14">
        <f t="shared" si="7"/>
        <v>1</v>
      </c>
      <c r="T71" s="1">
        <f t="shared" si="5"/>
        <v>77</v>
      </c>
      <c r="U71" s="4" t="str">
        <f t="shared" si="6"/>
        <v/>
      </c>
      <c r="V71" s="4" t="e">
        <f>IF($V$3=$M$3,M71,U71*(1+'Tenure Split (WALES)'!C$118))</f>
        <v>#VALUE!</v>
      </c>
      <c r="W71" s="4" t="e">
        <f>V71*(1+'Tenure Split (WALES)'!D$118)</f>
        <v>#VALUE!</v>
      </c>
      <c r="X71" s="4" t="e">
        <f>W71*(1+'Tenure Split (WALES)'!E$118)</f>
        <v>#VALUE!</v>
      </c>
      <c r="Y71" s="4" t="e">
        <f>X71*(1+'Tenure Split (WALES)'!F$118)</f>
        <v>#VALUE!</v>
      </c>
      <c r="Z71" s="4" t="e">
        <f>Y71*(1+'Tenure Split (WALES)'!G$118)</f>
        <v>#VALUE!</v>
      </c>
      <c r="AB71" s="1">
        <v>77</v>
      </c>
      <c r="AC71" s="4">
        <f>IF('Tenure Split (WALES)'!$D$18="Land Registry Data",'House Prices (Wales)'!D71,'House Prices (Wales)'!V71)</f>
        <v>231391.25669094626</v>
      </c>
      <c r="AD71" s="4">
        <f>IF('Tenure Split (WALES)'!$D$18="Land Registry Data",'House Prices (Wales)'!E71,'House Prices (Wales)'!W71)</f>
        <v>231906.46199081701</v>
      </c>
      <c r="AE71" s="4">
        <f>IF('Tenure Split (WALES)'!$D$18="Land Registry Data",'House Prices (Wales)'!F71,'House Prices (Wales)'!X71)</f>
        <v>236898.10480976486</v>
      </c>
      <c r="AF71" s="4">
        <f>IF('Tenure Split (WALES)'!$D$18="Land Registry Data",'House Prices (Wales)'!G71,'House Prices (Wales)'!Y71)</f>
        <v>246136.93392156126</v>
      </c>
      <c r="AG71" s="4">
        <f>IF('Tenure Split (WALES)'!$D$18="Land Registry Data",'House Prices (Wales)'!H71,'House Prices (Wales)'!Z71)</f>
        <v>256346.6752101944</v>
      </c>
    </row>
    <row r="72" spans="2:33" x14ac:dyDescent="0.25">
      <c r="B72" s="20">
        <v>78</v>
      </c>
      <c r="C72" s="58">
        <v>230000</v>
      </c>
      <c r="D72" s="59">
        <f>C72*(1+'Tenure Split (WALES)'!C$118)</f>
        <v>236533.28461741173</v>
      </c>
      <c r="E72" s="59">
        <f>D72*(1+'Tenure Split (WALES)'!D$118)</f>
        <v>237059.93892394629</v>
      </c>
      <c r="F72" s="59">
        <f>E72*(1+'Tenure Split (WALES)'!E$118)</f>
        <v>242162.50713887074</v>
      </c>
      <c r="G72" s="59">
        <f>F72*(1+'Tenure Split (WALES)'!F$118)</f>
        <v>251606.6435642626</v>
      </c>
      <c r="H72" s="60">
        <f>G72*(1+'Tenure Split (WALES)'!G$118)</f>
        <v>262043.26799264314</v>
      </c>
      <c r="L72" s="64" t="str">
        <f t="shared" si="4"/>
        <v/>
      </c>
      <c r="M72" s="264"/>
      <c r="N72" s="14">
        <f t="shared" si="7"/>
        <v>1</v>
      </c>
      <c r="T72" s="1">
        <f t="shared" si="5"/>
        <v>78</v>
      </c>
      <c r="U72" s="4" t="str">
        <f t="shared" si="6"/>
        <v/>
      </c>
      <c r="V72" s="4" t="e">
        <f>IF($V$3=$M$3,M72,U72*(1+'Tenure Split (WALES)'!C$118))</f>
        <v>#VALUE!</v>
      </c>
      <c r="W72" s="4" t="e">
        <f>V72*(1+'Tenure Split (WALES)'!D$118)</f>
        <v>#VALUE!</v>
      </c>
      <c r="X72" s="4" t="e">
        <f>W72*(1+'Tenure Split (WALES)'!E$118)</f>
        <v>#VALUE!</v>
      </c>
      <c r="Y72" s="4" t="e">
        <f>X72*(1+'Tenure Split (WALES)'!F$118)</f>
        <v>#VALUE!</v>
      </c>
      <c r="Z72" s="4" t="e">
        <f>Y72*(1+'Tenure Split (WALES)'!G$118)</f>
        <v>#VALUE!</v>
      </c>
      <c r="AB72" s="1">
        <v>78</v>
      </c>
      <c r="AC72" s="4">
        <f>IF('Tenure Split (WALES)'!$D$18="Land Registry Data",'House Prices (Wales)'!D72,'House Prices (Wales)'!V72)</f>
        <v>236533.28461741173</v>
      </c>
      <c r="AD72" s="4">
        <f>IF('Tenure Split (WALES)'!$D$18="Land Registry Data",'House Prices (Wales)'!E72,'House Prices (Wales)'!W72)</f>
        <v>237059.93892394629</v>
      </c>
      <c r="AE72" s="4">
        <f>IF('Tenure Split (WALES)'!$D$18="Land Registry Data",'House Prices (Wales)'!F72,'House Prices (Wales)'!X72)</f>
        <v>242162.50713887074</v>
      </c>
      <c r="AF72" s="4">
        <f>IF('Tenure Split (WALES)'!$D$18="Land Registry Data",'House Prices (Wales)'!G72,'House Prices (Wales)'!Y72)</f>
        <v>251606.6435642626</v>
      </c>
      <c r="AG72" s="4">
        <f>IF('Tenure Split (WALES)'!$D$18="Land Registry Data",'House Prices (Wales)'!H72,'House Prices (Wales)'!Z72)</f>
        <v>262043.26799264314</v>
      </c>
    </row>
    <row r="73" spans="2:33" x14ac:dyDescent="0.25">
      <c r="B73" s="20">
        <v>79</v>
      </c>
      <c r="C73" s="58">
        <v>235000</v>
      </c>
      <c r="D73" s="59">
        <f>C73*(1+'Tenure Split (WALES)'!C$118)</f>
        <v>241675.3125438772</v>
      </c>
      <c r="E73" s="59">
        <f>D73*(1+'Tenure Split (WALES)'!D$118)</f>
        <v>242213.41585707554</v>
      </c>
      <c r="F73" s="59">
        <f>E73*(1+'Tenure Split (WALES)'!E$118)</f>
        <v>247426.90946797663</v>
      </c>
      <c r="G73" s="59">
        <f>F73*(1+'Tenure Split (WALES)'!F$118)</f>
        <v>257076.35320696398</v>
      </c>
      <c r="H73" s="60">
        <f>G73*(1+'Tenure Split (WALES)'!G$118)</f>
        <v>267739.86077509192</v>
      </c>
      <c r="L73" s="64" t="str">
        <f t="shared" si="4"/>
        <v/>
      </c>
      <c r="M73" s="264"/>
      <c r="N73" s="14">
        <f t="shared" si="7"/>
        <v>1</v>
      </c>
      <c r="T73" s="1">
        <f t="shared" si="5"/>
        <v>79</v>
      </c>
      <c r="U73" s="4" t="str">
        <f t="shared" si="6"/>
        <v/>
      </c>
      <c r="V73" s="4" t="e">
        <f>IF($V$3=$M$3,M73,U73*(1+'Tenure Split (WALES)'!C$118))</f>
        <v>#VALUE!</v>
      </c>
      <c r="W73" s="4" t="e">
        <f>V73*(1+'Tenure Split (WALES)'!D$118)</f>
        <v>#VALUE!</v>
      </c>
      <c r="X73" s="4" t="e">
        <f>W73*(1+'Tenure Split (WALES)'!E$118)</f>
        <v>#VALUE!</v>
      </c>
      <c r="Y73" s="4" t="e">
        <f>X73*(1+'Tenure Split (WALES)'!F$118)</f>
        <v>#VALUE!</v>
      </c>
      <c r="Z73" s="4" t="e">
        <f>Y73*(1+'Tenure Split (WALES)'!G$118)</f>
        <v>#VALUE!</v>
      </c>
      <c r="AB73" s="1">
        <v>79</v>
      </c>
      <c r="AC73" s="4">
        <f>IF('Tenure Split (WALES)'!$D$18="Land Registry Data",'House Prices (Wales)'!D73,'House Prices (Wales)'!V73)</f>
        <v>241675.3125438772</v>
      </c>
      <c r="AD73" s="4">
        <f>IF('Tenure Split (WALES)'!$D$18="Land Registry Data",'House Prices (Wales)'!E73,'House Prices (Wales)'!W73)</f>
        <v>242213.41585707554</v>
      </c>
      <c r="AE73" s="4">
        <f>IF('Tenure Split (WALES)'!$D$18="Land Registry Data",'House Prices (Wales)'!F73,'House Prices (Wales)'!X73)</f>
        <v>247426.90946797663</v>
      </c>
      <c r="AF73" s="4">
        <f>IF('Tenure Split (WALES)'!$D$18="Land Registry Data",'House Prices (Wales)'!G73,'House Prices (Wales)'!Y73)</f>
        <v>257076.35320696398</v>
      </c>
      <c r="AG73" s="4">
        <f>IF('Tenure Split (WALES)'!$D$18="Land Registry Data",'House Prices (Wales)'!H73,'House Prices (Wales)'!Z73)</f>
        <v>267739.86077509192</v>
      </c>
    </row>
    <row r="74" spans="2:33" x14ac:dyDescent="0.25">
      <c r="B74" s="20">
        <v>80</v>
      </c>
      <c r="C74" s="58">
        <v>239950</v>
      </c>
      <c r="D74" s="59">
        <f>C74*(1+'Tenure Split (WALES)'!C$118)</f>
        <v>246765.92019107801</v>
      </c>
      <c r="E74" s="59">
        <f>D74*(1+'Tenure Split (WALES)'!D$118)</f>
        <v>247315.35802087351</v>
      </c>
      <c r="F74" s="59">
        <f>E74*(1+'Tenure Split (WALES)'!E$118)</f>
        <v>252638.66777379144</v>
      </c>
      <c r="G74" s="59">
        <f>F74*(1+'Tenure Split (WALES)'!F$118)</f>
        <v>262491.36575323832</v>
      </c>
      <c r="H74" s="60">
        <f>G74*(1+'Tenure Split (WALES)'!G$118)</f>
        <v>273379.48762971617</v>
      </c>
      <c r="L74" s="64" t="str">
        <f t="shared" si="4"/>
        <v/>
      </c>
      <c r="M74" s="264"/>
      <c r="N74" s="14">
        <f t="shared" si="7"/>
        <v>1</v>
      </c>
      <c r="T74" s="1">
        <f t="shared" si="5"/>
        <v>80</v>
      </c>
      <c r="U74" s="4" t="str">
        <f t="shared" si="6"/>
        <v/>
      </c>
      <c r="V74" s="4" t="e">
        <f>IF($V$3=$M$3,M74,U74*(1+'Tenure Split (WALES)'!C$118))</f>
        <v>#VALUE!</v>
      </c>
      <c r="W74" s="4" t="e">
        <f>V74*(1+'Tenure Split (WALES)'!D$118)</f>
        <v>#VALUE!</v>
      </c>
      <c r="X74" s="4" t="e">
        <f>W74*(1+'Tenure Split (WALES)'!E$118)</f>
        <v>#VALUE!</v>
      </c>
      <c r="Y74" s="4" t="e">
        <f>X74*(1+'Tenure Split (WALES)'!F$118)</f>
        <v>#VALUE!</v>
      </c>
      <c r="Z74" s="4" t="e">
        <f>Y74*(1+'Tenure Split (WALES)'!G$118)</f>
        <v>#VALUE!</v>
      </c>
      <c r="AB74" s="1">
        <v>80</v>
      </c>
      <c r="AC74" s="4">
        <f>IF('Tenure Split (WALES)'!$D$18="Land Registry Data",'House Prices (Wales)'!D74,'House Prices (Wales)'!V74)</f>
        <v>246765.92019107801</v>
      </c>
      <c r="AD74" s="4">
        <f>IF('Tenure Split (WALES)'!$D$18="Land Registry Data",'House Prices (Wales)'!E74,'House Prices (Wales)'!W74)</f>
        <v>247315.35802087351</v>
      </c>
      <c r="AE74" s="4">
        <f>IF('Tenure Split (WALES)'!$D$18="Land Registry Data",'House Prices (Wales)'!F74,'House Prices (Wales)'!X74)</f>
        <v>252638.66777379144</v>
      </c>
      <c r="AF74" s="4">
        <f>IF('Tenure Split (WALES)'!$D$18="Land Registry Data",'House Prices (Wales)'!G74,'House Prices (Wales)'!Y74)</f>
        <v>262491.36575323832</v>
      </c>
      <c r="AG74" s="4">
        <f>IF('Tenure Split (WALES)'!$D$18="Land Registry Data",'House Prices (Wales)'!H74,'House Prices (Wales)'!Z74)</f>
        <v>273379.48762971617</v>
      </c>
    </row>
    <row r="75" spans="2:33" x14ac:dyDescent="0.25">
      <c r="B75" s="20">
        <v>81</v>
      </c>
      <c r="C75" s="58">
        <v>244000</v>
      </c>
      <c r="D75" s="59">
        <f>C75*(1+'Tenure Split (WALES)'!C$118)</f>
        <v>250930.96281151506</v>
      </c>
      <c r="E75" s="59">
        <f>D75*(1+'Tenure Split (WALES)'!D$118)</f>
        <v>251489.67433670824</v>
      </c>
      <c r="F75" s="59">
        <f>E75*(1+'Tenure Split (WALES)'!E$118)</f>
        <v>256902.83366036724</v>
      </c>
      <c r="G75" s="59">
        <f>F75*(1+'Tenure Split (WALES)'!F$118)</f>
        <v>266921.83056382643</v>
      </c>
      <c r="H75" s="60">
        <f>G75*(1+'Tenure Split (WALES)'!G$118)</f>
        <v>277993.72778349969</v>
      </c>
      <c r="L75" s="64" t="str">
        <f t="shared" si="4"/>
        <v/>
      </c>
      <c r="M75" s="264"/>
      <c r="N75" s="14">
        <f t="shared" si="7"/>
        <v>1</v>
      </c>
      <c r="T75" s="1">
        <f t="shared" si="5"/>
        <v>81</v>
      </c>
      <c r="U75" s="4" t="str">
        <f t="shared" si="6"/>
        <v/>
      </c>
      <c r="V75" s="4" t="e">
        <f>IF($V$3=$M$3,M75,U75*(1+'Tenure Split (WALES)'!C$118))</f>
        <v>#VALUE!</v>
      </c>
      <c r="W75" s="4" t="e">
        <f>V75*(1+'Tenure Split (WALES)'!D$118)</f>
        <v>#VALUE!</v>
      </c>
      <c r="X75" s="4" t="e">
        <f>W75*(1+'Tenure Split (WALES)'!E$118)</f>
        <v>#VALUE!</v>
      </c>
      <c r="Y75" s="4" t="e">
        <f>X75*(1+'Tenure Split (WALES)'!F$118)</f>
        <v>#VALUE!</v>
      </c>
      <c r="Z75" s="4" t="e">
        <f>Y75*(1+'Tenure Split (WALES)'!G$118)</f>
        <v>#VALUE!</v>
      </c>
      <c r="AB75" s="1">
        <v>81</v>
      </c>
      <c r="AC75" s="4">
        <f>IF('Tenure Split (WALES)'!$D$18="Land Registry Data",'House Prices (Wales)'!D75,'House Prices (Wales)'!V75)</f>
        <v>250930.96281151506</v>
      </c>
      <c r="AD75" s="4">
        <f>IF('Tenure Split (WALES)'!$D$18="Land Registry Data",'House Prices (Wales)'!E75,'House Prices (Wales)'!W75)</f>
        <v>251489.67433670824</v>
      </c>
      <c r="AE75" s="4">
        <f>IF('Tenure Split (WALES)'!$D$18="Land Registry Data",'House Prices (Wales)'!F75,'House Prices (Wales)'!X75)</f>
        <v>256902.83366036724</v>
      </c>
      <c r="AF75" s="4">
        <f>IF('Tenure Split (WALES)'!$D$18="Land Registry Data",'House Prices (Wales)'!G75,'House Prices (Wales)'!Y75)</f>
        <v>266921.83056382643</v>
      </c>
      <c r="AG75" s="4">
        <f>IF('Tenure Split (WALES)'!$D$18="Land Registry Data",'House Prices (Wales)'!H75,'House Prices (Wales)'!Z75)</f>
        <v>277993.72778349969</v>
      </c>
    </row>
    <row r="76" spans="2:33" x14ac:dyDescent="0.25">
      <c r="B76" s="20">
        <v>82</v>
      </c>
      <c r="C76" s="58">
        <v>249000</v>
      </c>
      <c r="D76" s="59">
        <f>C76*(1+'Tenure Split (WALES)'!C$118)</f>
        <v>256072.99073798052</v>
      </c>
      <c r="E76" s="59">
        <f>D76*(1+'Tenure Split (WALES)'!D$118)</f>
        <v>256643.15126983749</v>
      </c>
      <c r="F76" s="59">
        <f>E76*(1+'Tenure Split (WALES)'!E$118)</f>
        <v>262167.23598947312</v>
      </c>
      <c r="G76" s="59">
        <f>F76*(1+'Tenure Split (WALES)'!F$118)</f>
        <v>272391.5402065278</v>
      </c>
      <c r="H76" s="60">
        <f>G76*(1+'Tenure Split (WALES)'!G$118)</f>
        <v>283690.3205659485</v>
      </c>
      <c r="L76" s="64" t="str">
        <f t="shared" si="4"/>
        <v/>
      </c>
      <c r="M76" s="264"/>
      <c r="N76" s="14">
        <f t="shared" si="7"/>
        <v>1</v>
      </c>
      <c r="T76" s="1">
        <f t="shared" si="5"/>
        <v>82</v>
      </c>
      <c r="U76" s="4" t="str">
        <f t="shared" si="6"/>
        <v/>
      </c>
      <c r="V76" s="4" t="e">
        <f>IF($V$3=$M$3,M76,U76*(1+'Tenure Split (WALES)'!C$118))</f>
        <v>#VALUE!</v>
      </c>
      <c r="W76" s="4" t="e">
        <f>V76*(1+'Tenure Split (WALES)'!D$118)</f>
        <v>#VALUE!</v>
      </c>
      <c r="X76" s="4" t="e">
        <f>W76*(1+'Tenure Split (WALES)'!E$118)</f>
        <v>#VALUE!</v>
      </c>
      <c r="Y76" s="4" t="e">
        <f>X76*(1+'Tenure Split (WALES)'!F$118)</f>
        <v>#VALUE!</v>
      </c>
      <c r="Z76" s="4" t="e">
        <f>Y76*(1+'Tenure Split (WALES)'!G$118)</f>
        <v>#VALUE!</v>
      </c>
      <c r="AB76" s="1">
        <v>82</v>
      </c>
      <c r="AC76" s="4">
        <f>IF('Tenure Split (WALES)'!$D$18="Land Registry Data",'House Prices (Wales)'!D76,'House Prices (Wales)'!V76)</f>
        <v>256072.99073798052</v>
      </c>
      <c r="AD76" s="4">
        <f>IF('Tenure Split (WALES)'!$D$18="Land Registry Data",'House Prices (Wales)'!E76,'House Prices (Wales)'!W76)</f>
        <v>256643.15126983749</v>
      </c>
      <c r="AE76" s="4">
        <f>IF('Tenure Split (WALES)'!$D$18="Land Registry Data",'House Prices (Wales)'!F76,'House Prices (Wales)'!X76)</f>
        <v>262167.23598947312</v>
      </c>
      <c r="AF76" s="4">
        <f>IF('Tenure Split (WALES)'!$D$18="Land Registry Data",'House Prices (Wales)'!G76,'House Prices (Wales)'!Y76)</f>
        <v>272391.5402065278</v>
      </c>
      <c r="AG76" s="4">
        <f>IF('Tenure Split (WALES)'!$D$18="Land Registry Data",'House Prices (Wales)'!H76,'House Prices (Wales)'!Z76)</f>
        <v>283690.3205659485</v>
      </c>
    </row>
    <row r="77" spans="2:33" x14ac:dyDescent="0.25">
      <c r="B77" s="20">
        <v>83</v>
      </c>
      <c r="C77" s="58">
        <v>252007.49999999936</v>
      </c>
      <c r="D77" s="59">
        <f>C77*(1+'Tenure Split (WALES)'!C$118)</f>
        <v>259165.92053574885</v>
      </c>
      <c r="E77" s="59">
        <f>D77*(1+'Tenure Split (WALES)'!D$118)</f>
        <v>259742.96764511411</v>
      </c>
      <c r="F77" s="59">
        <f>E77*(1+'Tenure Split (WALES)'!E$118)</f>
        <v>265333.77399042965</v>
      </c>
      <c r="G77" s="59">
        <f>F77*(1+'Tenure Split (WALES)'!F$118)</f>
        <v>275681.57055661199</v>
      </c>
      <c r="H77" s="60">
        <f>G77*(1+'Tenure Split (WALES)'!G$118)</f>
        <v>287116.8211245907</v>
      </c>
      <c r="L77" s="64" t="str">
        <f t="shared" si="4"/>
        <v/>
      </c>
      <c r="M77" s="264"/>
      <c r="N77" s="14">
        <f t="shared" si="7"/>
        <v>1</v>
      </c>
      <c r="T77" s="1">
        <f t="shared" si="5"/>
        <v>83</v>
      </c>
      <c r="U77" s="4" t="str">
        <f t="shared" si="6"/>
        <v/>
      </c>
      <c r="V77" s="4" t="e">
        <f>IF($V$3=$M$3,M77,U77*(1+'Tenure Split (WALES)'!C$118))</f>
        <v>#VALUE!</v>
      </c>
      <c r="W77" s="4" t="e">
        <f>V77*(1+'Tenure Split (WALES)'!D$118)</f>
        <v>#VALUE!</v>
      </c>
      <c r="X77" s="4" t="e">
        <f>W77*(1+'Tenure Split (WALES)'!E$118)</f>
        <v>#VALUE!</v>
      </c>
      <c r="Y77" s="4" t="e">
        <f>X77*(1+'Tenure Split (WALES)'!F$118)</f>
        <v>#VALUE!</v>
      </c>
      <c r="Z77" s="4" t="e">
        <f>Y77*(1+'Tenure Split (WALES)'!G$118)</f>
        <v>#VALUE!</v>
      </c>
      <c r="AB77" s="1">
        <v>83</v>
      </c>
      <c r="AC77" s="4">
        <f>IF('Tenure Split (WALES)'!$D$18="Land Registry Data",'House Prices (Wales)'!D77,'House Prices (Wales)'!V77)</f>
        <v>259165.92053574885</v>
      </c>
      <c r="AD77" s="4">
        <f>IF('Tenure Split (WALES)'!$D$18="Land Registry Data",'House Prices (Wales)'!E77,'House Prices (Wales)'!W77)</f>
        <v>259742.96764511411</v>
      </c>
      <c r="AE77" s="4">
        <f>IF('Tenure Split (WALES)'!$D$18="Land Registry Data",'House Prices (Wales)'!F77,'House Prices (Wales)'!X77)</f>
        <v>265333.77399042965</v>
      </c>
      <c r="AF77" s="4">
        <f>IF('Tenure Split (WALES)'!$D$18="Land Registry Data",'House Prices (Wales)'!G77,'House Prices (Wales)'!Y77)</f>
        <v>275681.57055661199</v>
      </c>
      <c r="AG77" s="4">
        <f>IF('Tenure Split (WALES)'!$D$18="Land Registry Data",'House Prices (Wales)'!H77,'House Prices (Wales)'!Z77)</f>
        <v>287116.8211245907</v>
      </c>
    </row>
    <row r="78" spans="2:33" x14ac:dyDescent="0.25">
      <c r="B78" s="20">
        <v>84</v>
      </c>
      <c r="C78" s="58">
        <v>259950</v>
      </c>
      <c r="D78" s="59">
        <f>C78*(1+'Tenure Split (WALES)'!C$118)</f>
        <v>267334.03189693991</v>
      </c>
      <c r="E78" s="59">
        <f>D78*(1+'Tenure Split (WALES)'!D$118)</f>
        <v>267929.26575339062</v>
      </c>
      <c r="F78" s="59">
        <f>E78*(1+'Tenure Split (WALES)'!E$118)</f>
        <v>273696.27709021501</v>
      </c>
      <c r="G78" s="59">
        <f>F78*(1+'Tenure Split (WALES)'!F$118)</f>
        <v>284370.20432404376</v>
      </c>
      <c r="H78" s="60">
        <f>G78*(1+'Tenure Split (WALES)'!G$118)</f>
        <v>296165.85875951126</v>
      </c>
      <c r="L78" s="64" t="str">
        <f t="shared" si="4"/>
        <v/>
      </c>
      <c r="M78" s="264"/>
      <c r="N78" s="14">
        <f t="shared" si="7"/>
        <v>1</v>
      </c>
      <c r="T78" s="1">
        <f t="shared" si="5"/>
        <v>84</v>
      </c>
      <c r="U78" s="4" t="str">
        <f t="shared" si="6"/>
        <v/>
      </c>
      <c r="V78" s="4" t="e">
        <f>IF($V$3=$M$3,M78,U78*(1+'Tenure Split (WALES)'!C$118))</f>
        <v>#VALUE!</v>
      </c>
      <c r="W78" s="4" t="e">
        <f>V78*(1+'Tenure Split (WALES)'!D$118)</f>
        <v>#VALUE!</v>
      </c>
      <c r="X78" s="4" t="e">
        <f>W78*(1+'Tenure Split (WALES)'!E$118)</f>
        <v>#VALUE!</v>
      </c>
      <c r="Y78" s="4" t="e">
        <f>X78*(1+'Tenure Split (WALES)'!F$118)</f>
        <v>#VALUE!</v>
      </c>
      <c r="Z78" s="4" t="e">
        <f>Y78*(1+'Tenure Split (WALES)'!G$118)</f>
        <v>#VALUE!</v>
      </c>
      <c r="AB78" s="1">
        <v>84</v>
      </c>
      <c r="AC78" s="4">
        <f>IF('Tenure Split (WALES)'!$D$18="Land Registry Data",'House Prices (Wales)'!D78,'House Prices (Wales)'!V78)</f>
        <v>267334.03189693991</v>
      </c>
      <c r="AD78" s="4">
        <f>IF('Tenure Split (WALES)'!$D$18="Land Registry Data",'House Prices (Wales)'!E78,'House Prices (Wales)'!W78)</f>
        <v>267929.26575339062</v>
      </c>
      <c r="AE78" s="4">
        <f>IF('Tenure Split (WALES)'!$D$18="Land Registry Data",'House Prices (Wales)'!F78,'House Prices (Wales)'!X78)</f>
        <v>273696.27709021501</v>
      </c>
      <c r="AF78" s="4">
        <f>IF('Tenure Split (WALES)'!$D$18="Land Registry Data",'House Prices (Wales)'!G78,'House Prices (Wales)'!Y78)</f>
        <v>284370.20432404376</v>
      </c>
      <c r="AG78" s="4">
        <f>IF('Tenure Split (WALES)'!$D$18="Land Registry Data",'House Prices (Wales)'!H78,'House Prices (Wales)'!Z78)</f>
        <v>296165.85875951126</v>
      </c>
    </row>
    <row r="79" spans="2:33" x14ac:dyDescent="0.25">
      <c r="B79" s="20">
        <v>85</v>
      </c>
      <c r="C79" s="58">
        <v>265000</v>
      </c>
      <c r="D79" s="59">
        <f>C79*(1+'Tenure Split (WALES)'!C$118)</f>
        <v>272527.48010267003</v>
      </c>
      <c r="E79" s="59">
        <f>D79*(1+'Tenure Split (WALES)'!D$118)</f>
        <v>273134.27745585114</v>
      </c>
      <c r="F79" s="59">
        <f>E79*(1+'Tenure Split (WALES)'!E$118)</f>
        <v>279013.32344261196</v>
      </c>
      <c r="G79" s="59">
        <f>F79*(1+'Tenure Split (WALES)'!F$118)</f>
        <v>289894.61106317217</v>
      </c>
      <c r="H79" s="60">
        <f>G79*(1+'Tenure Split (WALES)'!G$118)</f>
        <v>301919.4174697845</v>
      </c>
      <c r="L79" s="64" t="str">
        <f t="shared" si="4"/>
        <v/>
      </c>
      <c r="M79" s="264"/>
      <c r="N79" s="14">
        <f t="shared" si="7"/>
        <v>1</v>
      </c>
      <c r="T79" s="1">
        <f t="shared" si="5"/>
        <v>85</v>
      </c>
      <c r="U79" s="4" t="str">
        <f t="shared" si="6"/>
        <v/>
      </c>
      <c r="V79" s="4" t="e">
        <f>IF($V$3=$M$3,M79,U79*(1+'Tenure Split (WALES)'!C$118))</f>
        <v>#VALUE!</v>
      </c>
      <c r="W79" s="4" t="e">
        <f>V79*(1+'Tenure Split (WALES)'!D$118)</f>
        <v>#VALUE!</v>
      </c>
      <c r="X79" s="4" t="e">
        <f>W79*(1+'Tenure Split (WALES)'!E$118)</f>
        <v>#VALUE!</v>
      </c>
      <c r="Y79" s="4" t="e">
        <f>X79*(1+'Tenure Split (WALES)'!F$118)</f>
        <v>#VALUE!</v>
      </c>
      <c r="Z79" s="4" t="e">
        <f>Y79*(1+'Tenure Split (WALES)'!G$118)</f>
        <v>#VALUE!</v>
      </c>
      <c r="AB79" s="1">
        <v>85</v>
      </c>
      <c r="AC79" s="4">
        <f>IF('Tenure Split (WALES)'!$D$18="Land Registry Data",'House Prices (Wales)'!D79,'House Prices (Wales)'!V79)</f>
        <v>272527.48010267003</v>
      </c>
      <c r="AD79" s="4">
        <f>IF('Tenure Split (WALES)'!$D$18="Land Registry Data",'House Prices (Wales)'!E79,'House Prices (Wales)'!W79)</f>
        <v>273134.27745585114</v>
      </c>
      <c r="AE79" s="4">
        <f>IF('Tenure Split (WALES)'!$D$18="Land Registry Data",'House Prices (Wales)'!F79,'House Prices (Wales)'!X79)</f>
        <v>279013.32344261196</v>
      </c>
      <c r="AF79" s="4">
        <f>IF('Tenure Split (WALES)'!$D$18="Land Registry Data",'House Prices (Wales)'!G79,'House Prices (Wales)'!Y79)</f>
        <v>289894.61106317217</v>
      </c>
      <c r="AG79" s="4">
        <f>IF('Tenure Split (WALES)'!$D$18="Land Registry Data",'House Prices (Wales)'!H79,'House Prices (Wales)'!Z79)</f>
        <v>301919.4174697845</v>
      </c>
    </row>
    <row r="80" spans="2:33" x14ac:dyDescent="0.25">
      <c r="B80" s="20">
        <v>86</v>
      </c>
      <c r="C80" s="58">
        <v>270000</v>
      </c>
      <c r="D80" s="59">
        <f>C80*(1+'Tenure Split (WALES)'!C$118)</f>
        <v>277669.50802913553</v>
      </c>
      <c r="E80" s="59">
        <f>D80*(1+'Tenure Split (WALES)'!D$118)</f>
        <v>278287.75438898045</v>
      </c>
      <c r="F80" s="59">
        <f>E80*(1+'Tenure Split (WALES)'!E$118)</f>
        <v>284277.72577171784</v>
      </c>
      <c r="G80" s="59">
        <f>F80*(1+'Tenure Split (WALES)'!F$118)</f>
        <v>295364.32070587348</v>
      </c>
      <c r="H80" s="60">
        <f>G80*(1+'Tenure Split (WALES)'!G$118)</f>
        <v>307616.01025223325</v>
      </c>
      <c r="L80" s="64" t="str">
        <f t="shared" si="4"/>
        <v/>
      </c>
      <c r="M80" s="264"/>
      <c r="N80" s="14">
        <f t="shared" si="7"/>
        <v>1</v>
      </c>
      <c r="T80" s="1">
        <f t="shared" si="5"/>
        <v>86</v>
      </c>
      <c r="U80" s="4" t="str">
        <f t="shared" si="6"/>
        <v/>
      </c>
      <c r="V80" s="4" t="e">
        <f>IF($V$3=$M$3,M80,U80*(1+'Tenure Split (WALES)'!C$118))</f>
        <v>#VALUE!</v>
      </c>
      <c r="W80" s="4" t="e">
        <f>V80*(1+'Tenure Split (WALES)'!D$118)</f>
        <v>#VALUE!</v>
      </c>
      <c r="X80" s="4" t="e">
        <f>W80*(1+'Tenure Split (WALES)'!E$118)</f>
        <v>#VALUE!</v>
      </c>
      <c r="Y80" s="4" t="e">
        <f>X80*(1+'Tenure Split (WALES)'!F$118)</f>
        <v>#VALUE!</v>
      </c>
      <c r="Z80" s="4" t="e">
        <f>Y80*(1+'Tenure Split (WALES)'!G$118)</f>
        <v>#VALUE!</v>
      </c>
      <c r="AB80" s="1">
        <v>86</v>
      </c>
      <c r="AC80" s="4">
        <f>IF('Tenure Split (WALES)'!$D$18="Land Registry Data",'House Prices (Wales)'!D80,'House Prices (Wales)'!V80)</f>
        <v>277669.50802913553</v>
      </c>
      <c r="AD80" s="4">
        <f>IF('Tenure Split (WALES)'!$D$18="Land Registry Data",'House Prices (Wales)'!E80,'House Prices (Wales)'!W80)</f>
        <v>278287.75438898045</v>
      </c>
      <c r="AE80" s="4">
        <f>IF('Tenure Split (WALES)'!$D$18="Land Registry Data",'House Prices (Wales)'!F80,'House Prices (Wales)'!X80)</f>
        <v>284277.72577171784</v>
      </c>
      <c r="AF80" s="4">
        <f>IF('Tenure Split (WALES)'!$D$18="Land Registry Data",'House Prices (Wales)'!G80,'House Prices (Wales)'!Y80)</f>
        <v>295364.32070587348</v>
      </c>
      <c r="AG80" s="4">
        <f>IF('Tenure Split (WALES)'!$D$18="Land Registry Data",'House Prices (Wales)'!H80,'House Prices (Wales)'!Z80)</f>
        <v>307616.01025223325</v>
      </c>
    </row>
    <row r="81" spans="2:33" x14ac:dyDescent="0.25">
      <c r="B81" s="20">
        <v>87</v>
      </c>
      <c r="C81" s="58">
        <v>279500</v>
      </c>
      <c r="D81" s="59">
        <f>C81*(1+'Tenure Split (WALES)'!C$118)</f>
        <v>287439.36108941992</v>
      </c>
      <c r="E81" s="59">
        <f>D81*(1+'Tenure Split (WALES)'!D$118)</f>
        <v>288079.36056192603</v>
      </c>
      <c r="F81" s="59">
        <f>E81*(1+'Tenure Split (WALES)'!E$118)</f>
        <v>294280.09019701905</v>
      </c>
      <c r="G81" s="59">
        <f>F81*(1+'Tenure Split (WALES)'!F$118)</f>
        <v>305756.76902700611</v>
      </c>
      <c r="H81" s="60">
        <f>G81*(1+'Tenure Split (WALES)'!G$118)</f>
        <v>318439.53653888596</v>
      </c>
      <c r="L81" s="64" t="str">
        <f t="shared" si="4"/>
        <v/>
      </c>
      <c r="M81" s="264"/>
      <c r="N81" s="14">
        <f t="shared" si="7"/>
        <v>1</v>
      </c>
      <c r="T81" s="1">
        <f t="shared" si="5"/>
        <v>87</v>
      </c>
      <c r="U81" s="4" t="str">
        <f t="shared" si="6"/>
        <v/>
      </c>
      <c r="V81" s="4" t="e">
        <f>IF($V$3=$M$3,M81,U81*(1+'Tenure Split (WALES)'!C$118))</f>
        <v>#VALUE!</v>
      </c>
      <c r="W81" s="4" t="e">
        <f>V81*(1+'Tenure Split (WALES)'!D$118)</f>
        <v>#VALUE!</v>
      </c>
      <c r="X81" s="4" t="e">
        <f>W81*(1+'Tenure Split (WALES)'!E$118)</f>
        <v>#VALUE!</v>
      </c>
      <c r="Y81" s="4" t="e">
        <f>X81*(1+'Tenure Split (WALES)'!F$118)</f>
        <v>#VALUE!</v>
      </c>
      <c r="Z81" s="4" t="e">
        <f>Y81*(1+'Tenure Split (WALES)'!G$118)</f>
        <v>#VALUE!</v>
      </c>
      <c r="AB81" s="1">
        <v>87</v>
      </c>
      <c r="AC81" s="4">
        <f>IF('Tenure Split (WALES)'!$D$18="Land Registry Data",'House Prices (Wales)'!D81,'House Prices (Wales)'!V81)</f>
        <v>287439.36108941992</v>
      </c>
      <c r="AD81" s="4">
        <f>IF('Tenure Split (WALES)'!$D$18="Land Registry Data",'House Prices (Wales)'!E81,'House Prices (Wales)'!W81)</f>
        <v>288079.36056192603</v>
      </c>
      <c r="AE81" s="4">
        <f>IF('Tenure Split (WALES)'!$D$18="Land Registry Data",'House Prices (Wales)'!F81,'House Prices (Wales)'!X81)</f>
        <v>294280.09019701905</v>
      </c>
      <c r="AF81" s="4">
        <f>IF('Tenure Split (WALES)'!$D$18="Land Registry Data",'House Prices (Wales)'!G81,'House Prices (Wales)'!Y81)</f>
        <v>305756.76902700611</v>
      </c>
      <c r="AG81" s="4">
        <f>IF('Tenure Split (WALES)'!$D$18="Land Registry Data",'House Prices (Wales)'!H81,'House Prices (Wales)'!Z81)</f>
        <v>318439.53653888596</v>
      </c>
    </row>
    <row r="82" spans="2:33" x14ac:dyDescent="0.25">
      <c r="B82" s="20">
        <v>88</v>
      </c>
      <c r="C82" s="58">
        <v>285000</v>
      </c>
      <c r="D82" s="59">
        <f>C82*(1+'Tenure Split (WALES)'!C$118)</f>
        <v>293095.5918085319</v>
      </c>
      <c r="E82" s="59">
        <f>D82*(1+'Tenure Split (WALES)'!D$118)</f>
        <v>293748.1851883682</v>
      </c>
      <c r="F82" s="59">
        <f>E82*(1+'Tenure Split (WALES)'!E$118)</f>
        <v>300070.93275903544</v>
      </c>
      <c r="G82" s="59">
        <f>F82*(1+'Tenure Split (WALES)'!F$118)</f>
        <v>311773.44963397755</v>
      </c>
      <c r="H82" s="60">
        <f>G82*(1+'Tenure Split (WALES)'!G$118)</f>
        <v>324705.78859957954</v>
      </c>
      <c r="L82" s="64" t="str">
        <f t="shared" si="4"/>
        <v/>
      </c>
      <c r="M82" s="264"/>
      <c r="N82" s="14">
        <f t="shared" si="7"/>
        <v>1</v>
      </c>
      <c r="T82" s="1">
        <f t="shared" si="5"/>
        <v>88</v>
      </c>
      <c r="U82" s="4" t="str">
        <f t="shared" si="6"/>
        <v/>
      </c>
      <c r="V82" s="4" t="e">
        <f>IF($V$3=$M$3,M82,U82*(1+'Tenure Split (WALES)'!C$118))</f>
        <v>#VALUE!</v>
      </c>
      <c r="W82" s="4" t="e">
        <f>V82*(1+'Tenure Split (WALES)'!D$118)</f>
        <v>#VALUE!</v>
      </c>
      <c r="X82" s="4" t="e">
        <f>W82*(1+'Tenure Split (WALES)'!E$118)</f>
        <v>#VALUE!</v>
      </c>
      <c r="Y82" s="4" t="e">
        <f>X82*(1+'Tenure Split (WALES)'!F$118)</f>
        <v>#VALUE!</v>
      </c>
      <c r="Z82" s="4" t="e">
        <f>Y82*(1+'Tenure Split (WALES)'!G$118)</f>
        <v>#VALUE!</v>
      </c>
      <c r="AB82" s="1">
        <v>88</v>
      </c>
      <c r="AC82" s="4">
        <f>IF('Tenure Split (WALES)'!$D$18="Land Registry Data",'House Prices (Wales)'!D82,'House Prices (Wales)'!V82)</f>
        <v>293095.5918085319</v>
      </c>
      <c r="AD82" s="4">
        <f>IF('Tenure Split (WALES)'!$D$18="Land Registry Data",'House Prices (Wales)'!E82,'House Prices (Wales)'!W82)</f>
        <v>293748.1851883682</v>
      </c>
      <c r="AE82" s="4">
        <f>IF('Tenure Split (WALES)'!$D$18="Land Registry Data",'House Prices (Wales)'!F82,'House Prices (Wales)'!X82)</f>
        <v>300070.93275903544</v>
      </c>
      <c r="AF82" s="4">
        <f>IF('Tenure Split (WALES)'!$D$18="Land Registry Data",'House Prices (Wales)'!G82,'House Prices (Wales)'!Y82)</f>
        <v>311773.44963397755</v>
      </c>
      <c r="AG82" s="4">
        <f>IF('Tenure Split (WALES)'!$D$18="Land Registry Data",'House Prices (Wales)'!H82,'House Prices (Wales)'!Z82)</f>
        <v>324705.78859957954</v>
      </c>
    </row>
    <row r="83" spans="2:33" x14ac:dyDescent="0.25">
      <c r="B83" s="20">
        <v>89</v>
      </c>
      <c r="C83" s="58">
        <v>292500</v>
      </c>
      <c r="D83" s="59">
        <f>C83*(1+'Tenure Split (WALES)'!C$118)</f>
        <v>300808.63369823014</v>
      </c>
      <c r="E83" s="59">
        <f>D83*(1+'Tenure Split (WALES)'!D$118)</f>
        <v>301478.40058806213</v>
      </c>
      <c r="F83" s="59">
        <f>E83*(1+'Tenure Split (WALES)'!E$118)</f>
        <v>307967.53625269432</v>
      </c>
      <c r="G83" s="59">
        <f>F83*(1+'Tenure Split (WALES)'!F$118)</f>
        <v>319978.01409802964</v>
      </c>
      <c r="H83" s="60">
        <f>G83*(1+'Tenure Split (WALES)'!G$118)</f>
        <v>333250.67777325271</v>
      </c>
      <c r="L83" s="64" t="str">
        <f t="shared" si="4"/>
        <v/>
      </c>
      <c r="M83" s="264"/>
      <c r="N83" s="14">
        <f t="shared" si="7"/>
        <v>1</v>
      </c>
      <c r="T83" s="1">
        <f t="shared" si="5"/>
        <v>89</v>
      </c>
      <c r="U83" s="4" t="str">
        <f t="shared" si="6"/>
        <v/>
      </c>
      <c r="V83" s="4" t="e">
        <f>IF($V$3=$M$3,M83,U83*(1+'Tenure Split (WALES)'!C$118))</f>
        <v>#VALUE!</v>
      </c>
      <c r="W83" s="4" t="e">
        <f>V83*(1+'Tenure Split (WALES)'!D$118)</f>
        <v>#VALUE!</v>
      </c>
      <c r="X83" s="4" t="e">
        <f>W83*(1+'Tenure Split (WALES)'!E$118)</f>
        <v>#VALUE!</v>
      </c>
      <c r="Y83" s="4" t="e">
        <f>X83*(1+'Tenure Split (WALES)'!F$118)</f>
        <v>#VALUE!</v>
      </c>
      <c r="Z83" s="4" t="e">
        <f>Y83*(1+'Tenure Split (WALES)'!G$118)</f>
        <v>#VALUE!</v>
      </c>
      <c r="AB83" s="1">
        <v>89</v>
      </c>
      <c r="AC83" s="4">
        <f>IF('Tenure Split (WALES)'!$D$18="Land Registry Data",'House Prices (Wales)'!D83,'House Prices (Wales)'!V83)</f>
        <v>300808.63369823014</v>
      </c>
      <c r="AD83" s="4">
        <f>IF('Tenure Split (WALES)'!$D$18="Land Registry Data",'House Prices (Wales)'!E83,'House Prices (Wales)'!W83)</f>
        <v>301478.40058806213</v>
      </c>
      <c r="AE83" s="4">
        <f>IF('Tenure Split (WALES)'!$D$18="Land Registry Data",'House Prices (Wales)'!F83,'House Prices (Wales)'!X83)</f>
        <v>307967.53625269432</v>
      </c>
      <c r="AF83" s="4">
        <f>IF('Tenure Split (WALES)'!$D$18="Land Registry Data",'House Prices (Wales)'!G83,'House Prices (Wales)'!Y83)</f>
        <v>319978.01409802964</v>
      </c>
      <c r="AG83" s="4">
        <f>IF('Tenure Split (WALES)'!$D$18="Land Registry Data",'House Prices (Wales)'!H83,'House Prices (Wales)'!Z83)</f>
        <v>333250.67777325271</v>
      </c>
    </row>
    <row r="84" spans="2:33" x14ac:dyDescent="0.25">
      <c r="B84" s="23">
        <v>90</v>
      </c>
      <c r="C84" s="61">
        <v>300000</v>
      </c>
      <c r="D84" s="62">
        <f>C84*(1+'Tenure Split (WALES)'!C$118)</f>
        <v>308521.67558792833</v>
      </c>
      <c r="E84" s="62">
        <f>D84*(1+'Tenure Split (WALES)'!D$118)</f>
        <v>309208.615987756</v>
      </c>
      <c r="F84" s="62">
        <f>E84*(1+'Tenure Split (WALES)'!E$118)</f>
        <v>315864.13974635315</v>
      </c>
      <c r="G84" s="62">
        <f>F84*(1+'Tenure Split (WALES)'!F$118)</f>
        <v>328182.57856208168</v>
      </c>
      <c r="H84" s="63">
        <f>G84*(1+'Tenure Split (WALES)'!G$118)</f>
        <v>341795.56694692583</v>
      </c>
      <c r="L84" s="65" t="str">
        <f t="shared" si="4"/>
        <v/>
      </c>
      <c r="M84" s="265"/>
      <c r="N84" s="14">
        <f t="shared" si="7"/>
        <v>1</v>
      </c>
      <c r="T84" s="1">
        <f t="shared" si="5"/>
        <v>90</v>
      </c>
      <c r="U84" s="4" t="str">
        <f t="shared" si="6"/>
        <v/>
      </c>
      <c r="V84" s="4" t="e">
        <f>IF($V$3=$M$3,M84,U84*(1+'Tenure Split (WALES)'!C$118))</f>
        <v>#VALUE!</v>
      </c>
      <c r="W84" s="4" t="e">
        <f>V84*(1+'Tenure Split (WALES)'!D$118)</f>
        <v>#VALUE!</v>
      </c>
      <c r="X84" s="4" t="e">
        <f>W84*(1+'Tenure Split (WALES)'!E$118)</f>
        <v>#VALUE!</v>
      </c>
      <c r="Y84" s="4" t="e">
        <f>X84*(1+'Tenure Split (WALES)'!F$118)</f>
        <v>#VALUE!</v>
      </c>
      <c r="Z84" s="4" t="e">
        <f>Y84*(1+'Tenure Split (WALES)'!G$118)</f>
        <v>#VALUE!</v>
      </c>
      <c r="AB84" s="1">
        <v>90</v>
      </c>
      <c r="AC84" s="4">
        <f>IF('Tenure Split (WALES)'!$D$18="Land Registry Data",'House Prices (Wales)'!D84,'House Prices (Wales)'!V84)</f>
        <v>308521.67558792833</v>
      </c>
      <c r="AD84" s="4">
        <f>IF('Tenure Split (WALES)'!$D$18="Land Registry Data",'House Prices (Wales)'!E84,'House Prices (Wales)'!W84)</f>
        <v>309208.615987756</v>
      </c>
      <c r="AE84" s="4">
        <f>IF('Tenure Split (WALES)'!$D$18="Land Registry Data",'House Prices (Wales)'!F84,'House Prices (Wales)'!X84)</f>
        <v>315864.13974635315</v>
      </c>
      <c r="AF84" s="4">
        <f>IF('Tenure Split (WALES)'!$D$18="Land Registry Data",'House Prices (Wales)'!G84,'House Prices (Wales)'!Y84)</f>
        <v>328182.57856208168</v>
      </c>
      <c r="AG84" s="4">
        <f>IF('Tenure Split (WALES)'!$D$18="Land Registry Data",'House Prices (Wales)'!H84,'House Prices (Wales)'!Z84)</f>
        <v>341795.56694692583</v>
      </c>
    </row>
    <row r="85" spans="2:33" x14ac:dyDescent="0.25">
      <c r="N85" s="14">
        <f>IF(SUM(N4:N84)&gt;0,1,0)</f>
        <v>1</v>
      </c>
    </row>
  </sheetData>
  <sheetProtection sheet="1" objects="1" scenarios="1"/>
  <mergeCells count="3">
    <mergeCell ref="B2:H2"/>
    <mergeCell ref="J2:M2"/>
    <mergeCell ref="J9:J10"/>
  </mergeCells>
  <dataValidations count="2">
    <dataValidation type="list" allowBlank="1" showInputMessage="1" showErrorMessage="1" sqref="K4">
      <formula1>"2017,2018"</formula1>
    </dataValidation>
    <dataValidation type="decimal" operator="greaterThan" allowBlank="1" showInputMessage="1" showErrorMessage="1" sqref="M4:M84">
      <formula1>0</formula1>
    </dataValidation>
  </dataValidations>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85"/>
  <sheetViews>
    <sheetView showGridLines="0" workbookViewId="0"/>
  </sheetViews>
  <sheetFormatPr defaultColWidth="9.140625" defaultRowHeight="15" x14ac:dyDescent="0.25"/>
  <cols>
    <col min="1" max="1" width="2.140625" style="1" customWidth="1"/>
    <col min="2" max="2" width="10.140625" style="1" bestFit="1" customWidth="1"/>
    <col min="3" max="3" width="9.140625" style="1"/>
    <col min="4" max="8" width="10.140625" style="1" bestFit="1" customWidth="1"/>
    <col min="9" max="9" width="9.140625" style="1"/>
    <col min="10" max="10" width="53.85546875" style="1" customWidth="1"/>
    <col min="11" max="11" width="9.140625" style="1"/>
    <col min="12" max="12" width="10.140625" style="1" customWidth="1"/>
    <col min="13" max="13" width="9.140625" style="1"/>
    <col min="14" max="14" width="9.140625" style="1" hidden="1" customWidth="1"/>
    <col min="15" max="19" width="9.140625" style="1"/>
    <col min="20" max="20" width="9.140625" style="1" hidden="1" customWidth="1"/>
    <col min="21" max="26" width="10.140625" style="1" hidden="1" customWidth="1"/>
    <col min="27" max="28" width="9.140625" style="1" customWidth="1"/>
    <col min="29" max="29" width="10.140625" style="1" customWidth="1"/>
    <col min="30" max="34" width="9.140625" style="1" customWidth="1"/>
    <col min="35" max="16384" width="9.140625" style="1"/>
  </cols>
  <sheetData>
    <row r="1" spans="2:35" ht="9.75" customHeight="1" x14ac:dyDescent="0.25"/>
    <row r="2" spans="2:35" ht="26.25" customHeight="1" x14ac:dyDescent="0.25">
      <c r="B2" s="430" t="s">
        <v>140</v>
      </c>
      <c r="C2" s="431"/>
      <c r="D2" s="431"/>
      <c r="E2" s="431"/>
      <c r="F2" s="431"/>
      <c r="G2" s="431"/>
      <c r="H2" s="432"/>
      <c r="J2" s="433" t="s">
        <v>86</v>
      </c>
      <c r="K2" s="434"/>
      <c r="L2" s="434"/>
      <c r="M2" s="435"/>
      <c r="N2" s="67"/>
      <c r="U2" s="1" t="s">
        <v>88</v>
      </c>
      <c r="AB2" s="1" t="s">
        <v>89</v>
      </c>
    </row>
    <row r="3" spans="2:35" x14ac:dyDescent="0.25">
      <c r="B3" s="34" t="s">
        <v>46</v>
      </c>
      <c r="C3" s="35">
        <v>2017</v>
      </c>
      <c r="D3" s="35">
        <v>2018</v>
      </c>
      <c r="E3" s="35">
        <v>2019</v>
      </c>
      <c r="F3" s="35">
        <v>2020</v>
      </c>
      <c r="G3" s="35">
        <v>2021</v>
      </c>
      <c r="H3" s="57">
        <v>2022</v>
      </c>
      <c r="L3" s="34" t="s">
        <v>46</v>
      </c>
      <c r="M3" s="66">
        <f>K4</f>
        <v>0</v>
      </c>
      <c r="N3" s="68" t="s">
        <v>80</v>
      </c>
      <c r="U3" s="1">
        <v>2017</v>
      </c>
      <c r="V3" s="1">
        <v>2018</v>
      </c>
      <c r="W3" s="1">
        <v>2019</v>
      </c>
      <c r="X3" s="1">
        <v>2020</v>
      </c>
      <c r="Y3" s="1">
        <v>2021</v>
      </c>
      <c r="Z3" s="1">
        <v>2022</v>
      </c>
      <c r="AC3" s="1" t="s">
        <v>9</v>
      </c>
      <c r="AD3" s="1" t="s">
        <v>10</v>
      </c>
      <c r="AE3" s="1" t="s">
        <v>11</v>
      </c>
      <c r="AF3" s="1" t="s">
        <v>12</v>
      </c>
      <c r="AG3" s="1" t="s">
        <v>13</v>
      </c>
    </row>
    <row r="4" spans="2:35" x14ac:dyDescent="0.25">
      <c r="B4" s="20">
        <v>10</v>
      </c>
      <c r="C4" s="58">
        <v>87500</v>
      </c>
      <c r="D4" s="59">
        <f>C4*(1+'Tenure Split (North Wales)'!C$118)</f>
        <v>89985.488713145765</v>
      </c>
      <c r="E4" s="59">
        <f>D4*(1+'Tenure Split (North Wales)'!D$118)</f>
        <v>90185.846329762178</v>
      </c>
      <c r="F4" s="59">
        <f>E4*(1+'Tenure Split (North Wales)'!E$118)</f>
        <v>92127.040759353011</v>
      </c>
      <c r="G4" s="59">
        <f>F4*(1+'Tenure Split (North Wales)'!F$118)</f>
        <v>95719.918747273827</v>
      </c>
      <c r="H4" s="59">
        <f>G4*(1+'Tenure Split (North Wales)'!G$118)</f>
        <v>99690.373692853376</v>
      </c>
      <c r="I4" s="4"/>
      <c r="J4" s="69" t="str">
        <f>IF('Tenure Split (WALES)'!D18="Other","Choose what year of data you would like to enter:","")</f>
        <v/>
      </c>
      <c r="K4" s="263"/>
      <c r="L4" s="64" t="str">
        <f t="shared" ref="L4:L67" si="0">IF(ISBLANK($K$4),"",B4)</f>
        <v/>
      </c>
      <c r="M4" s="264"/>
      <c r="N4" s="14">
        <f>IF(ISBLANK(M4),1,0)</f>
        <v>1</v>
      </c>
      <c r="O4" s="11" t="str">
        <f>IF(J4="","",IF(N85=1,"&lt;&lt; Enter each percentile data here.",""))</f>
        <v/>
      </c>
      <c r="T4" s="1">
        <f t="shared" ref="T4:T67" si="1">B4</f>
        <v>10</v>
      </c>
      <c r="U4" s="4" t="str">
        <f t="shared" ref="U4:U67" si="2">IF($M$3=$U$3,M4,"")</f>
        <v/>
      </c>
      <c r="V4" s="4" t="e">
        <f>IF($V$3=$M$3,M4,U4*(1+'Tenure Split (WALES)'!C$118))</f>
        <v>#VALUE!</v>
      </c>
      <c r="W4" s="4" t="e">
        <f>V4*(1+'Tenure Split (WALES)'!D$118)</f>
        <v>#VALUE!</v>
      </c>
      <c r="X4" s="4" t="e">
        <f>W4*(1+'Tenure Split (WALES)'!E$118)</f>
        <v>#VALUE!</v>
      </c>
      <c r="Y4" s="4" t="e">
        <f>X4*(1+'Tenure Split (WALES)'!F$118)</f>
        <v>#VALUE!</v>
      </c>
      <c r="Z4" s="4" t="e">
        <f>Y4*(1+'Tenure Split (WALES)'!G$118)</f>
        <v>#VALUE!</v>
      </c>
      <c r="AB4" s="1">
        <v>10</v>
      </c>
      <c r="AC4" s="4">
        <f>IF('Tenure Split (WALES)'!$D$18="Land Registry Data",'House Prices (North Wales)'!D4,'House Prices (North Wales)'!V4)</f>
        <v>89985.488713145765</v>
      </c>
      <c r="AD4" s="4">
        <f>IF('Tenure Split (WALES)'!$D$18="Land Registry Data",'House Prices (North Wales)'!E4,'House Prices (North Wales)'!W4)</f>
        <v>90185.846329762178</v>
      </c>
      <c r="AE4" s="4">
        <f>IF('Tenure Split (WALES)'!$D$18="Land Registry Data",'House Prices (North Wales)'!F4,'House Prices (North Wales)'!X4)</f>
        <v>92127.040759353011</v>
      </c>
      <c r="AF4" s="4">
        <f>IF('Tenure Split (WALES)'!$D$18="Land Registry Data",'House Prices (North Wales)'!G4,'House Prices (North Wales)'!Y4)</f>
        <v>95719.918747273827</v>
      </c>
      <c r="AG4" s="4">
        <f>IF('Tenure Split (WALES)'!$D$18="Land Registry Data",'House Prices (North Wales)'!H4,'House Prices (North Wales)'!Z4)</f>
        <v>99690.373692853376</v>
      </c>
    </row>
    <row r="5" spans="2:35" x14ac:dyDescent="0.25">
      <c r="B5" s="20">
        <v>11</v>
      </c>
      <c r="C5" s="58">
        <v>90000</v>
      </c>
      <c r="D5" s="59">
        <f>C5*(1+'Tenure Split (North Wales)'!C$118)</f>
        <v>92556.502676378499</v>
      </c>
      <c r="E5" s="59">
        <f>D5*(1+'Tenure Split (North Wales)'!D$118)</f>
        <v>92762.584796326802</v>
      </c>
      <c r="F5" s="59">
        <f>E5*(1+'Tenure Split (North Wales)'!E$118)</f>
        <v>94759.241923905938</v>
      </c>
      <c r="G5" s="59">
        <f>F5*(1+'Tenure Split (North Wales)'!F$118)</f>
        <v>98454.773568624485</v>
      </c>
      <c r="H5" s="59">
        <f>G5*(1+'Tenure Split (North Wales)'!G$118)</f>
        <v>102538.67008407773</v>
      </c>
      <c r="J5" s="70" t="str">
        <f>IF(J4="","","You only need to enter one year of data (either 2017 or 2018)")</f>
        <v/>
      </c>
      <c r="L5" s="64" t="str">
        <f t="shared" si="0"/>
        <v/>
      </c>
      <c r="M5" s="264"/>
      <c r="N5" s="14">
        <f t="shared" ref="N5:N68" si="3">IF(ISBLANK(M5),1,0)</f>
        <v>1</v>
      </c>
      <c r="T5" s="1">
        <f t="shared" si="1"/>
        <v>11</v>
      </c>
      <c r="U5" s="4" t="str">
        <f t="shared" si="2"/>
        <v/>
      </c>
      <c r="V5" s="4" t="e">
        <f>IF($V$3=$M$3,M5,U5*(1+'Tenure Split (WALES)'!C$118))</f>
        <v>#VALUE!</v>
      </c>
      <c r="W5" s="4" t="e">
        <f>V5*(1+'Tenure Split (WALES)'!D$118)</f>
        <v>#VALUE!</v>
      </c>
      <c r="X5" s="4" t="e">
        <f>W5*(1+'Tenure Split (WALES)'!E$118)</f>
        <v>#VALUE!</v>
      </c>
      <c r="Y5" s="4" t="e">
        <f>X5*(1+'Tenure Split (WALES)'!F$118)</f>
        <v>#VALUE!</v>
      </c>
      <c r="Z5" s="4" t="e">
        <f>Y5*(1+'Tenure Split (WALES)'!G$118)</f>
        <v>#VALUE!</v>
      </c>
      <c r="AB5" s="1">
        <v>11</v>
      </c>
      <c r="AC5" s="4">
        <f>IF('Tenure Split (WALES)'!$D$18="Land Registry Data",'House Prices (North Wales)'!D5,'House Prices (North Wales)'!V5)</f>
        <v>92556.502676378499</v>
      </c>
      <c r="AD5" s="4">
        <f>IF('Tenure Split (WALES)'!$D$18="Land Registry Data",'House Prices (North Wales)'!E5,'House Prices (North Wales)'!W5)</f>
        <v>92762.584796326802</v>
      </c>
      <c r="AE5" s="4">
        <f>IF('Tenure Split (WALES)'!$D$18="Land Registry Data",'House Prices (North Wales)'!F5,'House Prices (North Wales)'!X5)</f>
        <v>94759.241923905938</v>
      </c>
      <c r="AF5" s="4">
        <f>IF('Tenure Split (WALES)'!$D$18="Land Registry Data",'House Prices (North Wales)'!G5,'House Prices (North Wales)'!Y5)</f>
        <v>98454.773568624485</v>
      </c>
      <c r="AG5" s="4">
        <f>IF('Tenure Split (WALES)'!$D$18="Land Registry Data",'House Prices (North Wales)'!H5,'House Prices (North Wales)'!Z5)</f>
        <v>102538.67008407773</v>
      </c>
    </row>
    <row r="6" spans="2:35" x14ac:dyDescent="0.25">
      <c r="B6" s="20">
        <v>12</v>
      </c>
      <c r="C6" s="58">
        <v>92997.6</v>
      </c>
      <c r="D6" s="59">
        <f>C6*(1+'Tenure Split (North Wales)'!C$118)</f>
        <v>95639.251258853081</v>
      </c>
      <c r="E6" s="59">
        <f>D6*(1+'Tenure Split (North Wales)'!D$118)</f>
        <v>95852.19728727646</v>
      </c>
      <c r="F6" s="59">
        <f>E6*(1+'Tenure Split (North Wales)'!E$118)</f>
        <v>97915.356408251493</v>
      </c>
      <c r="G6" s="59">
        <f>F6*(1+'Tenure Split (North Wales)'!F$118)</f>
        <v>101733.9738936168</v>
      </c>
      <c r="H6" s="59">
        <f>G6*(1+'Tenure Split (North Wales)'!G$118)</f>
        <v>105953.89138901142</v>
      </c>
      <c r="L6" s="64" t="str">
        <f t="shared" si="0"/>
        <v/>
      </c>
      <c r="M6" s="264"/>
      <c r="N6" s="14">
        <f t="shared" si="3"/>
        <v>1</v>
      </c>
      <c r="T6" s="1">
        <f t="shared" si="1"/>
        <v>12</v>
      </c>
      <c r="U6" s="4" t="str">
        <f t="shared" si="2"/>
        <v/>
      </c>
      <c r="V6" s="4" t="e">
        <f>IF($V$3=$M$3,M6,U6*(1+'Tenure Split (WALES)'!C$118))</f>
        <v>#VALUE!</v>
      </c>
      <c r="W6" s="4" t="e">
        <f>V6*(1+'Tenure Split (WALES)'!D$118)</f>
        <v>#VALUE!</v>
      </c>
      <c r="X6" s="4" t="e">
        <f>W6*(1+'Tenure Split (WALES)'!E$118)</f>
        <v>#VALUE!</v>
      </c>
      <c r="Y6" s="4" t="e">
        <f>X6*(1+'Tenure Split (WALES)'!F$118)</f>
        <v>#VALUE!</v>
      </c>
      <c r="Z6" s="4" t="e">
        <f>Y6*(1+'Tenure Split (WALES)'!G$118)</f>
        <v>#VALUE!</v>
      </c>
      <c r="AB6" s="1">
        <v>12</v>
      </c>
      <c r="AC6" s="4">
        <f>IF('Tenure Split (WALES)'!$D$18="Land Registry Data",'House Prices (North Wales)'!D6,'House Prices (North Wales)'!V6)</f>
        <v>95639.251258853081</v>
      </c>
      <c r="AD6" s="4">
        <f>IF('Tenure Split (WALES)'!$D$18="Land Registry Data",'House Prices (North Wales)'!E6,'House Prices (North Wales)'!W6)</f>
        <v>95852.19728727646</v>
      </c>
      <c r="AE6" s="4">
        <f>IF('Tenure Split (WALES)'!$D$18="Land Registry Data",'House Prices (North Wales)'!F6,'House Prices (North Wales)'!X6)</f>
        <v>97915.356408251493</v>
      </c>
      <c r="AF6" s="4">
        <f>IF('Tenure Split (WALES)'!$D$18="Land Registry Data",'House Prices (North Wales)'!G6,'House Prices (North Wales)'!Y6)</f>
        <v>101733.9738936168</v>
      </c>
      <c r="AG6" s="4">
        <f>IF('Tenure Split (WALES)'!$D$18="Land Registry Data",'House Prices (North Wales)'!H6,'House Prices (North Wales)'!Z6)</f>
        <v>105953.89138901142</v>
      </c>
    </row>
    <row r="7" spans="2:35" x14ac:dyDescent="0.25">
      <c r="B7" s="20">
        <v>13</v>
      </c>
      <c r="C7" s="58">
        <v>95000</v>
      </c>
      <c r="D7" s="59">
        <f>C7*(1+'Tenure Split (North Wales)'!C$118)</f>
        <v>97698.530602843966</v>
      </c>
      <c r="E7" s="59">
        <f>D7*(1+'Tenure Split (North Wales)'!D$118)</f>
        <v>97916.061729456065</v>
      </c>
      <c r="F7" s="59">
        <f>E7*(1+'Tenure Split (North Wales)'!E$118)</f>
        <v>100023.64425301182</v>
      </c>
      <c r="G7" s="59">
        <f>F7*(1+'Tenure Split (North Wales)'!F$118)</f>
        <v>103924.48321132585</v>
      </c>
      <c r="H7" s="59">
        <f>G7*(1+'Tenure Split (North Wales)'!G$118)</f>
        <v>108235.26286652649</v>
      </c>
      <c r="J7" s="11" t="str">
        <f>IF(J4="","",IF(N85=1,"User input not yet complete",IF(N85=0,"User input complete","")))</f>
        <v/>
      </c>
      <c r="L7" s="64" t="str">
        <f t="shared" si="0"/>
        <v/>
      </c>
      <c r="M7" s="264"/>
      <c r="N7" s="14">
        <f t="shared" si="3"/>
        <v>1</v>
      </c>
      <c r="T7" s="1">
        <f t="shared" si="1"/>
        <v>13</v>
      </c>
      <c r="U7" s="4" t="str">
        <f t="shared" si="2"/>
        <v/>
      </c>
      <c r="V7" s="4" t="e">
        <f>IF($V$3=$M$3,M7,U7*(1+'Tenure Split (WALES)'!C$118))</f>
        <v>#VALUE!</v>
      </c>
      <c r="W7" s="4" t="e">
        <f>V7*(1+'Tenure Split (WALES)'!D$118)</f>
        <v>#VALUE!</v>
      </c>
      <c r="X7" s="4" t="e">
        <f>W7*(1+'Tenure Split (WALES)'!E$118)</f>
        <v>#VALUE!</v>
      </c>
      <c r="Y7" s="4" t="e">
        <f>X7*(1+'Tenure Split (WALES)'!F$118)</f>
        <v>#VALUE!</v>
      </c>
      <c r="Z7" s="4" t="e">
        <f>Y7*(1+'Tenure Split (WALES)'!G$118)</f>
        <v>#VALUE!</v>
      </c>
      <c r="AB7" s="1">
        <v>13</v>
      </c>
      <c r="AC7" s="4">
        <f>IF('Tenure Split (WALES)'!$D$18="Land Registry Data",'House Prices (North Wales)'!D7,'House Prices (North Wales)'!V7)</f>
        <v>97698.530602843966</v>
      </c>
      <c r="AD7" s="4">
        <f>IF('Tenure Split (WALES)'!$D$18="Land Registry Data",'House Prices (North Wales)'!E7,'House Prices (North Wales)'!W7)</f>
        <v>97916.061729456065</v>
      </c>
      <c r="AE7" s="4">
        <f>IF('Tenure Split (WALES)'!$D$18="Land Registry Data",'House Prices (North Wales)'!F7,'House Prices (North Wales)'!X7)</f>
        <v>100023.64425301182</v>
      </c>
      <c r="AF7" s="4">
        <f>IF('Tenure Split (WALES)'!$D$18="Land Registry Data",'House Prices (North Wales)'!G7,'House Prices (North Wales)'!Y7)</f>
        <v>103924.48321132585</v>
      </c>
      <c r="AG7" s="4">
        <f>IF('Tenure Split (WALES)'!$D$18="Land Registry Data",'House Prices (North Wales)'!H7,'House Prices (North Wales)'!Z7)</f>
        <v>108235.26286652649</v>
      </c>
    </row>
    <row r="8" spans="2:35" x14ac:dyDescent="0.25">
      <c r="B8" s="20">
        <v>14</v>
      </c>
      <c r="C8" s="58">
        <v>97000</v>
      </c>
      <c r="D8" s="59">
        <f>C8*(1+'Tenure Split (North Wales)'!C$118)</f>
        <v>99755.341773430162</v>
      </c>
      <c r="E8" s="59">
        <f>D8*(1+'Tenure Split (North Wales)'!D$118)</f>
        <v>99977.452502707776</v>
      </c>
      <c r="F8" s="59">
        <f>E8*(1+'Tenure Split (North Wales)'!E$118)</f>
        <v>102129.40518465418</v>
      </c>
      <c r="G8" s="59">
        <f>F8*(1+'Tenure Split (North Wales)'!F$118)</f>
        <v>106112.3670684064</v>
      </c>
      <c r="H8" s="59">
        <f>G8*(1+'Tenure Split (North Wales)'!G$118)</f>
        <v>110513.89997950601</v>
      </c>
      <c r="L8" s="64" t="str">
        <f t="shared" si="0"/>
        <v/>
      </c>
      <c r="M8" s="264"/>
      <c r="N8" s="14">
        <f t="shared" si="3"/>
        <v>1</v>
      </c>
      <c r="T8" s="1">
        <f t="shared" si="1"/>
        <v>14</v>
      </c>
      <c r="U8" s="4" t="str">
        <f t="shared" si="2"/>
        <v/>
      </c>
      <c r="V8" s="4" t="e">
        <f>IF($V$3=$M$3,M8,U8*(1+'Tenure Split (WALES)'!C$118))</f>
        <v>#VALUE!</v>
      </c>
      <c r="W8" s="4" t="e">
        <f>V8*(1+'Tenure Split (WALES)'!D$118)</f>
        <v>#VALUE!</v>
      </c>
      <c r="X8" s="4" t="e">
        <f>W8*(1+'Tenure Split (WALES)'!E$118)</f>
        <v>#VALUE!</v>
      </c>
      <c r="Y8" s="4" t="e">
        <f>X8*(1+'Tenure Split (WALES)'!F$118)</f>
        <v>#VALUE!</v>
      </c>
      <c r="Z8" s="4" t="e">
        <f>Y8*(1+'Tenure Split (WALES)'!G$118)</f>
        <v>#VALUE!</v>
      </c>
      <c r="AB8" s="1">
        <v>14</v>
      </c>
      <c r="AC8" s="4">
        <f>IF('Tenure Split (WALES)'!$D$18="Land Registry Data",'House Prices (North Wales)'!D8,'House Prices (North Wales)'!V8)</f>
        <v>99755.341773430162</v>
      </c>
      <c r="AD8" s="4">
        <f>IF('Tenure Split (WALES)'!$D$18="Land Registry Data",'House Prices (North Wales)'!E8,'House Prices (North Wales)'!W8)</f>
        <v>99977.452502707776</v>
      </c>
      <c r="AE8" s="4">
        <f>IF('Tenure Split (WALES)'!$D$18="Land Registry Data",'House Prices (North Wales)'!F8,'House Prices (North Wales)'!X8)</f>
        <v>102129.40518465418</v>
      </c>
      <c r="AF8" s="4">
        <f>IF('Tenure Split (WALES)'!$D$18="Land Registry Data",'House Prices (North Wales)'!G8,'House Prices (North Wales)'!Y8)</f>
        <v>106112.3670684064</v>
      </c>
      <c r="AG8" s="4">
        <f>IF('Tenure Split (WALES)'!$D$18="Land Registry Data",'House Prices (North Wales)'!H8,'House Prices (North Wales)'!Z8)</f>
        <v>110513.89997950601</v>
      </c>
    </row>
    <row r="9" spans="2:35" x14ac:dyDescent="0.25">
      <c r="B9" s="20">
        <v>15</v>
      </c>
      <c r="C9" s="58">
        <v>100000</v>
      </c>
      <c r="D9" s="59">
        <f>C9*(1+'Tenure Split (North Wales)'!C$118)</f>
        <v>102840.55852930945</v>
      </c>
      <c r="E9" s="59">
        <f>D9*(1+'Tenure Split (North Wales)'!D$118)</f>
        <v>103069.53866258534</v>
      </c>
      <c r="F9" s="59">
        <f>E9*(1+'Tenure Split (North Wales)'!E$118)</f>
        <v>105288.04658211772</v>
      </c>
      <c r="G9" s="59">
        <f>F9*(1+'Tenure Split (North Wales)'!F$118)</f>
        <v>109394.19285402722</v>
      </c>
      <c r="H9" s="59">
        <f>G9*(1+'Tenure Split (North Wales)'!G$118)</f>
        <v>113931.85564897528</v>
      </c>
      <c r="J9" s="436" t="str">
        <f>IF(J4="","If you would like to use your own house price distribution data, please change your dropdown selection.","")</f>
        <v>If you would like to use your own house price distribution data, please change your dropdown selection.</v>
      </c>
      <c r="L9" s="64" t="str">
        <f t="shared" si="0"/>
        <v/>
      </c>
      <c r="M9" s="264"/>
      <c r="N9" s="14">
        <f t="shared" si="3"/>
        <v>1</v>
      </c>
      <c r="T9" s="1">
        <f t="shared" si="1"/>
        <v>15</v>
      </c>
      <c r="U9" s="4" t="str">
        <f t="shared" si="2"/>
        <v/>
      </c>
      <c r="V9" s="4" t="e">
        <f>IF($V$3=$M$3,M9,U9*(1+'Tenure Split (WALES)'!C$118))</f>
        <v>#VALUE!</v>
      </c>
      <c r="W9" s="4" t="e">
        <f>V9*(1+'Tenure Split (WALES)'!D$118)</f>
        <v>#VALUE!</v>
      </c>
      <c r="X9" s="4" t="e">
        <f>W9*(1+'Tenure Split (WALES)'!E$118)</f>
        <v>#VALUE!</v>
      </c>
      <c r="Y9" s="4" t="e">
        <f>X9*(1+'Tenure Split (WALES)'!F$118)</f>
        <v>#VALUE!</v>
      </c>
      <c r="Z9" s="4" t="e">
        <f>Y9*(1+'Tenure Split (WALES)'!G$118)</f>
        <v>#VALUE!</v>
      </c>
      <c r="AB9" s="1">
        <v>15</v>
      </c>
      <c r="AC9" s="4">
        <f>IF('Tenure Split (WALES)'!$D$18="Land Registry Data",'House Prices (North Wales)'!D9,'House Prices (North Wales)'!V9)</f>
        <v>102840.55852930945</v>
      </c>
      <c r="AD9" s="4">
        <f>IF('Tenure Split (WALES)'!$D$18="Land Registry Data",'House Prices (North Wales)'!E9,'House Prices (North Wales)'!W9)</f>
        <v>103069.53866258534</v>
      </c>
      <c r="AE9" s="4">
        <f>IF('Tenure Split (WALES)'!$D$18="Land Registry Data",'House Prices (North Wales)'!F9,'House Prices (North Wales)'!X9)</f>
        <v>105288.04658211772</v>
      </c>
      <c r="AF9" s="4">
        <f>IF('Tenure Split (WALES)'!$D$18="Land Registry Data",'House Prices (North Wales)'!G9,'House Prices (North Wales)'!Y9)</f>
        <v>109394.19285402722</v>
      </c>
      <c r="AG9" s="4">
        <f>IF('Tenure Split (WALES)'!$D$18="Land Registry Data",'House Prices (North Wales)'!H9,'House Prices (North Wales)'!Z9)</f>
        <v>113931.85564897528</v>
      </c>
    </row>
    <row r="10" spans="2:35" x14ac:dyDescent="0.25">
      <c r="B10" s="20">
        <v>16</v>
      </c>
      <c r="C10" s="58">
        <v>100000</v>
      </c>
      <c r="D10" s="59">
        <f>C10*(1+'Tenure Split (North Wales)'!C$118)</f>
        <v>102840.55852930945</v>
      </c>
      <c r="E10" s="59">
        <f>D10*(1+'Tenure Split (North Wales)'!D$118)</f>
        <v>103069.53866258534</v>
      </c>
      <c r="F10" s="59">
        <f>E10*(1+'Tenure Split (North Wales)'!E$118)</f>
        <v>105288.04658211772</v>
      </c>
      <c r="G10" s="59">
        <f>F10*(1+'Tenure Split (North Wales)'!F$118)</f>
        <v>109394.19285402722</v>
      </c>
      <c r="H10" s="59">
        <f>G10*(1+'Tenure Split (North Wales)'!G$118)</f>
        <v>113931.85564897528</v>
      </c>
      <c r="J10" s="436"/>
      <c r="L10" s="64" t="str">
        <f t="shared" si="0"/>
        <v/>
      </c>
      <c r="M10" s="264"/>
      <c r="N10" s="14">
        <f t="shared" si="3"/>
        <v>1</v>
      </c>
      <c r="T10" s="1">
        <f t="shared" si="1"/>
        <v>16</v>
      </c>
      <c r="U10" s="4" t="str">
        <f t="shared" si="2"/>
        <v/>
      </c>
      <c r="V10" s="4" t="e">
        <f>IF($V$3=$M$3,M10,U10*(1+'Tenure Split (WALES)'!C$118))</f>
        <v>#VALUE!</v>
      </c>
      <c r="W10" s="4" t="e">
        <f>V10*(1+'Tenure Split (WALES)'!D$118)</f>
        <v>#VALUE!</v>
      </c>
      <c r="X10" s="4" t="e">
        <f>W10*(1+'Tenure Split (WALES)'!E$118)</f>
        <v>#VALUE!</v>
      </c>
      <c r="Y10" s="4" t="e">
        <f>X10*(1+'Tenure Split (WALES)'!F$118)</f>
        <v>#VALUE!</v>
      </c>
      <c r="Z10" s="4" t="e">
        <f>Y10*(1+'Tenure Split (WALES)'!G$118)</f>
        <v>#VALUE!</v>
      </c>
      <c r="AB10" s="1">
        <v>16</v>
      </c>
      <c r="AC10" s="4">
        <f>IF('Tenure Split (WALES)'!$D$18="Land Registry Data",'House Prices (North Wales)'!D10,'House Prices (North Wales)'!V10)</f>
        <v>102840.55852930945</v>
      </c>
      <c r="AD10" s="4">
        <f>IF('Tenure Split (WALES)'!$D$18="Land Registry Data",'House Prices (North Wales)'!E10,'House Prices (North Wales)'!W10)</f>
        <v>103069.53866258534</v>
      </c>
      <c r="AE10" s="4">
        <f>IF('Tenure Split (WALES)'!$D$18="Land Registry Data",'House Prices (North Wales)'!F10,'House Prices (North Wales)'!X10)</f>
        <v>105288.04658211772</v>
      </c>
      <c r="AF10" s="4">
        <f>IF('Tenure Split (WALES)'!$D$18="Land Registry Data",'House Prices (North Wales)'!G10,'House Prices (North Wales)'!Y10)</f>
        <v>109394.19285402722</v>
      </c>
      <c r="AG10" s="4">
        <f>IF('Tenure Split (WALES)'!$D$18="Land Registry Data",'House Prices (North Wales)'!H10,'House Prices (North Wales)'!Z10)</f>
        <v>113931.85564897528</v>
      </c>
    </row>
    <row r="11" spans="2:35" x14ac:dyDescent="0.25">
      <c r="B11" s="20">
        <v>17</v>
      </c>
      <c r="C11" s="58">
        <v>103000</v>
      </c>
      <c r="D11" s="59">
        <f>C11*(1+'Tenure Split (North Wales)'!C$118)</f>
        <v>105925.77528518873</v>
      </c>
      <c r="E11" s="59">
        <f>D11*(1+'Tenure Split (North Wales)'!D$118)</f>
        <v>106161.62482246291</v>
      </c>
      <c r="F11" s="59">
        <f>E11*(1+'Tenure Split (North Wales)'!E$118)</f>
        <v>108446.68797958126</v>
      </c>
      <c r="G11" s="59">
        <f>F11*(1+'Tenure Split (North Wales)'!F$118)</f>
        <v>112676.01863964804</v>
      </c>
      <c r="H11" s="59">
        <f>G11*(1+'Tenure Split (North Wales)'!G$118)</f>
        <v>117349.81131844454</v>
      </c>
      <c r="L11" s="64" t="str">
        <f t="shared" si="0"/>
        <v/>
      </c>
      <c r="M11" s="264"/>
      <c r="N11" s="14">
        <f t="shared" si="3"/>
        <v>1</v>
      </c>
      <c r="T11" s="1">
        <f t="shared" si="1"/>
        <v>17</v>
      </c>
      <c r="U11" s="4" t="str">
        <f t="shared" si="2"/>
        <v/>
      </c>
      <c r="V11" s="4" t="e">
        <f>IF($V$3=$M$3,M11,U11*(1+'Tenure Split (WALES)'!C$118))</f>
        <v>#VALUE!</v>
      </c>
      <c r="W11" s="4" t="e">
        <f>V11*(1+'Tenure Split (WALES)'!D$118)</f>
        <v>#VALUE!</v>
      </c>
      <c r="X11" s="4" t="e">
        <f>W11*(1+'Tenure Split (WALES)'!E$118)</f>
        <v>#VALUE!</v>
      </c>
      <c r="Y11" s="4" t="e">
        <f>X11*(1+'Tenure Split (WALES)'!F$118)</f>
        <v>#VALUE!</v>
      </c>
      <c r="Z11" s="4" t="e">
        <f>Y11*(1+'Tenure Split (WALES)'!G$118)</f>
        <v>#VALUE!</v>
      </c>
      <c r="AB11" s="1">
        <v>17</v>
      </c>
      <c r="AC11" s="4">
        <f>IF('Tenure Split (WALES)'!$D$18="Land Registry Data",'House Prices (North Wales)'!D11,'House Prices (North Wales)'!V11)</f>
        <v>105925.77528518873</v>
      </c>
      <c r="AD11" s="4">
        <f>IF('Tenure Split (WALES)'!$D$18="Land Registry Data",'House Prices (North Wales)'!E11,'House Prices (North Wales)'!W11)</f>
        <v>106161.62482246291</v>
      </c>
      <c r="AE11" s="4">
        <f>IF('Tenure Split (WALES)'!$D$18="Land Registry Data",'House Prices (North Wales)'!F11,'House Prices (North Wales)'!X11)</f>
        <v>108446.68797958126</v>
      </c>
      <c r="AF11" s="4">
        <f>IF('Tenure Split (WALES)'!$D$18="Land Registry Data",'House Prices (North Wales)'!G11,'House Prices (North Wales)'!Y11)</f>
        <v>112676.01863964804</v>
      </c>
      <c r="AG11" s="4">
        <f>IF('Tenure Split (WALES)'!$D$18="Land Registry Data",'House Prices (North Wales)'!H11,'House Prices (North Wales)'!Z11)</f>
        <v>117349.81131844454</v>
      </c>
    </row>
    <row r="12" spans="2:35" x14ac:dyDescent="0.25">
      <c r="B12" s="20">
        <v>18</v>
      </c>
      <c r="C12" s="58">
        <v>105000</v>
      </c>
      <c r="D12" s="59">
        <f>C12*(1+'Tenure Split (North Wales)'!C$118)</f>
        <v>107982.58645577492</v>
      </c>
      <c r="E12" s="59">
        <f>D12*(1+'Tenure Split (North Wales)'!D$118)</f>
        <v>108223.01559571461</v>
      </c>
      <c r="F12" s="59">
        <f>E12*(1+'Tenure Split (North Wales)'!E$118)</f>
        <v>110552.4489112236</v>
      </c>
      <c r="G12" s="59">
        <f>F12*(1+'Tenure Split (North Wales)'!F$118)</f>
        <v>114863.90249672858</v>
      </c>
      <c r="H12" s="59">
        <f>G12*(1+'Tenure Split (North Wales)'!G$118)</f>
        <v>119628.44843142404</v>
      </c>
      <c r="L12" s="64" t="str">
        <f t="shared" si="0"/>
        <v/>
      </c>
      <c r="M12" s="264"/>
      <c r="N12" s="14">
        <f t="shared" si="3"/>
        <v>1</v>
      </c>
      <c r="T12" s="1">
        <f t="shared" si="1"/>
        <v>18</v>
      </c>
      <c r="U12" s="4" t="str">
        <f t="shared" si="2"/>
        <v/>
      </c>
      <c r="V12" s="4" t="e">
        <f>IF($V$3=$M$3,M12,U12*(1+'Tenure Split (WALES)'!C$118))</f>
        <v>#VALUE!</v>
      </c>
      <c r="W12" s="4" t="e">
        <f>V12*(1+'Tenure Split (WALES)'!D$118)</f>
        <v>#VALUE!</v>
      </c>
      <c r="X12" s="4" t="e">
        <f>W12*(1+'Tenure Split (WALES)'!E$118)</f>
        <v>#VALUE!</v>
      </c>
      <c r="Y12" s="4" t="e">
        <f>X12*(1+'Tenure Split (WALES)'!F$118)</f>
        <v>#VALUE!</v>
      </c>
      <c r="Z12" s="4" t="e">
        <f>Y12*(1+'Tenure Split (WALES)'!G$118)</f>
        <v>#VALUE!</v>
      </c>
      <c r="AB12" s="1">
        <v>18</v>
      </c>
      <c r="AC12" s="4">
        <f>IF('Tenure Split (WALES)'!$D$18="Land Registry Data",'House Prices (North Wales)'!D12,'House Prices (North Wales)'!V12)</f>
        <v>107982.58645577492</v>
      </c>
      <c r="AD12" s="4">
        <f>IF('Tenure Split (WALES)'!$D$18="Land Registry Data",'House Prices (North Wales)'!E12,'House Prices (North Wales)'!W12)</f>
        <v>108223.01559571461</v>
      </c>
      <c r="AE12" s="4">
        <f>IF('Tenure Split (WALES)'!$D$18="Land Registry Data",'House Prices (North Wales)'!F12,'House Prices (North Wales)'!X12)</f>
        <v>110552.4489112236</v>
      </c>
      <c r="AF12" s="4">
        <f>IF('Tenure Split (WALES)'!$D$18="Land Registry Data",'House Prices (North Wales)'!G12,'House Prices (North Wales)'!Y12)</f>
        <v>114863.90249672858</v>
      </c>
      <c r="AG12" s="4">
        <f>IF('Tenure Split (WALES)'!$D$18="Land Registry Data",'House Prices (North Wales)'!H12,'House Prices (North Wales)'!Z12)</f>
        <v>119628.44843142404</v>
      </c>
    </row>
    <row r="13" spans="2:35" x14ac:dyDescent="0.25">
      <c r="B13" s="20">
        <v>19</v>
      </c>
      <c r="C13" s="58">
        <v>107000</v>
      </c>
      <c r="D13" s="59">
        <f>C13*(1+'Tenure Split (North Wales)'!C$118)</f>
        <v>110039.39762636111</v>
      </c>
      <c r="E13" s="59">
        <f>D13*(1+'Tenure Split (North Wales)'!D$118)</f>
        <v>110284.40636896632</v>
      </c>
      <c r="F13" s="59">
        <f>E13*(1+'Tenure Split (North Wales)'!E$118)</f>
        <v>112658.20984286595</v>
      </c>
      <c r="G13" s="59">
        <f>F13*(1+'Tenure Split (North Wales)'!F$118)</f>
        <v>117051.78635380912</v>
      </c>
      <c r="H13" s="59">
        <f>G13*(1+'Tenure Split (North Wales)'!G$118)</f>
        <v>121907.08554440354</v>
      </c>
      <c r="L13" s="64" t="str">
        <f t="shared" si="0"/>
        <v/>
      </c>
      <c r="M13" s="264"/>
      <c r="N13" s="14">
        <f t="shared" si="3"/>
        <v>1</v>
      </c>
      <c r="T13" s="1">
        <f t="shared" si="1"/>
        <v>19</v>
      </c>
      <c r="U13" s="4" t="str">
        <f t="shared" si="2"/>
        <v/>
      </c>
      <c r="V13" s="4" t="e">
        <f>IF($V$3=$M$3,M13,U13*(1+'Tenure Split (WALES)'!C$118))</f>
        <v>#VALUE!</v>
      </c>
      <c r="W13" s="4" t="e">
        <f>V13*(1+'Tenure Split (WALES)'!D$118)</f>
        <v>#VALUE!</v>
      </c>
      <c r="X13" s="4" t="e">
        <f>W13*(1+'Tenure Split (WALES)'!E$118)</f>
        <v>#VALUE!</v>
      </c>
      <c r="Y13" s="4" t="e">
        <f>X13*(1+'Tenure Split (WALES)'!F$118)</f>
        <v>#VALUE!</v>
      </c>
      <c r="Z13" s="4" t="e">
        <f>Y13*(1+'Tenure Split (WALES)'!G$118)</f>
        <v>#VALUE!</v>
      </c>
      <c r="AB13" s="1">
        <v>19</v>
      </c>
      <c r="AC13" s="4">
        <f>IF('Tenure Split (WALES)'!$D$18="Land Registry Data",'House Prices (North Wales)'!D13,'House Prices (North Wales)'!V13)</f>
        <v>110039.39762636111</v>
      </c>
      <c r="AD13" s="4">
        <f>IF('Tenure Split (WALES)'!$D$18="Land Registry Data",'House Prices (North Wales)'!E13,'House Prices (North Wales)'!W13)</f>
        <v>110284.40636896632</v>
      </c>
      <c r="AE13" s="4">
        <f>IF('Tenure Split (WALES)'!$D$18="Land Registry Data",'House Prices (North Wales)'!F13,'House Prices (North Wales)'!X13)</f>
        <v>112658.20984286595</v>
      </c>
      <c r="AF13" s="4">
        <f>IF('Tenure Split (WALES)'!$D$18="Land Registry Data",'House Prices (North Wales)'!G13,'House Prices (North Wales)'!Y13)</f>
        <v>117051.78635380912</v>
      </c>
      <c r="AG13" s="4">
        <f>IF('Tenure Split (WALES)'!$D$18="Land Registry Data",'House Prices (North Wales)'!H13,'House Prices (North Wales)'!Z13)</f>
        <v>121907.08554440354</v>
      </c>
    </row>
    <row r="14" spans="2:35" x14ac:dyDescent="0.25">
      <c r="B14" s="20">
        <v>20</v>
      </c>
      <c r="C14" s="58">
        <v>109000</v>
      </c>
      <c r="D14" s="59">
        <f>C14*(1+'Tenure Split (North Wales)'!C$118)</f>
        <v>112096.20879694729</v>
      </c>
      <c r="E14" s="59">
        <f>D14*(1+'Tenure Split (North Wales)'!D$118)</f>
        <v>112345.79714221801</v>
      </c>
      <c r="F14" s="59">
        <f>E14*(1+'Tenure Split (North Wales)'!E$118)</f>
        <v>114763.9707745083</v>
      </c>
      <c r="G14" s="59">
        <f>F14*(1+'Tenure Split (North Wales)'!F$118)</f>
        <v>119239.67021088966</v>
      </c>
      <c r="H14" s="59">
        <f>G14*(1+'Tenure Split (North Wales)'!G$118)</f>
        <v>124185.72265738304</v>
      </c>
      <c r="L14" s="64" t="str">
        <f t="shared" si="0"/>
        <v/>
      </c>
      <c r="M14" s="264"/>
      <c r="N14" s="14">
        <f t="shared" si="3"/>
        <v>1</v>
      </c>
      <c r="T14" s="1">
        <f t="shared" si="1"/>
        <v>20</v>
      </c>
      <c r="U14" s="4" t="str">
        <f t="shared" si="2"/>
        <v/>
      </c>
      <c r="V14" s="4" t="e">
        <f>IF($V$3=$M$3,M14,U14*(1+'Tenure Split (WALES)'!C$118))</f>
        <v>#VALUE!</v>
      </c>
      <c r="W14" s="4" t="e">
        <f>V14*(1+'Tenure Split (WALES)'!D$118)</f>
        <v>#VALUE!</v>
      </c>
      <c r="X14" s="4" t="e">
        <f>W14*(1+'Tenure Split (WALES)'!E$118)</f>
        <v>#VALUE!</v>
      </c>
      <c r="Y14" s="4" t="e">
        <f>X14*(1+'Tenure Split (WALES)'!F$118)</f>
        <v>#VALUE!</v>
      </c>
      <c r="Z14" s="4" t="e">
        <f>Y14*(1+'Tenure Split (WALES)'!G$118)</f>
        <v>#VALUE!</v>
      </c>
      <c r="AB14" s="1">
        <v>20</v>
      </c>
      <c r="AC14" s="4">
        <f>IF('Tenure Split (WALES)'!$D$18="Land Registry Data",'House Prices (North Wales)'!D14,'House Prices (North Wales)'!V14)</f>
        <v>112096.20879694729</v>
      </c>
      <c r="AD14" s="4">
        <f>IF('Tenure Split (WALES)'!$D$18="Land Registry Data",'House Prices (North Wales)'!E14,'House Prices (North Wales)'!W14)</f>
        <v>112345.79714221801</v>
      </c>
      <c r="AE14" s="4">
        <f>IF('Tenure Split (WALES)'!$D$18="Land Registry Data",'House Prices (North Wales)'!F14,'House Prices (North Wales)'!X14)</f>
        <v>114763.9707745083</v>
      </c>
      <c r="AF14" s="4">
        <f>IF('Tenure Split (WALES)'!$D$18="Land Registry Data",'House Prices (North Wales)'!G14,'House Prices (North Wales)'!Y14)</f>
        <v>119239.67021088966</v>
      </c>
      <c r="AG14" s="4">
        <f>IF('Tenure Split (WALES)'!$D$18="Land Registry Data",'House Prices (North Wales)'!H14,'House Prices (North Wales)'!Z14)</f>
        <v>124185.72265738304</v>
      </c>
    </row>
    <row r="15" spans="2:35" x14ac:dyDescent="0.25">
      <c r="B15" s="20">
        <v>21</v>
      </c>
      <c r="C15" s="58">
        <v>110000</v>
      </c>
      <c r="D15" s="59">
        <f>C15*(1+'Tenure Split (North Wales)'!C$118)</f>
        <v>113124.61438224038</v>
      </c>
      <c r="E15" s="59">
        <f>D15*(1+'Tenure Split (North Wales)'!D$118)</f>
        <v>113376.49252884387</v>
      </c>
      <c r="F15" s="59">
        <f>E15*(1+'Tenure Split (North Wales)'!E$118)</f>
        <v>115816.85124032947</v>
      </c>
      <c r="G15" s="59">
        <f>F15*(1+'Tenure Split (North Wales)'!F$118)</f>
        <v>120333.61213942993</v>
      </c>
      <c r="H15" s="59">
        <f>G15*(1+'Tenure Split (North Wales)'!G$118)</f>
        <v>125325.04121387278</v>
      </c>
      <c r="L15" s="64" t="str">
        <f t="shared" si="0"/>
        <v/>
      </c>
      <c r="M15" s="264"/>
      <c r="N15" s="14">
        <f t="shared" si="3"/>
        <v>1</v>
      </c>
      <c r="T15" s="1">
        <f t="shared" si="1"/>
        <v>21</v>
      </c>
      <c r="U15" s="4" t="str">
        <f t="shared" si="2"/>
        <v/>
      </c>
      <c r="V15" s="4" t="e">
        <f>IF($V$3=$M$3,M15,U15*(1+'Tenure Split (WALES)'!C$118))</f>
        <v>#VALUE!</v>
      </c>
      <c r="W15" s="4" t="e">
        <f>V15*(1+'Tenure Split (WALES)'!D$118)</f>
        <v>#VALUE!</v>
      </c>
      <c r="X15" s="4" t="e">
        <f>W15*(1+'Tenure Split (WALES)'!E$118)</f>
        <v>#VALUE!</v>
      </c>
      <c r="Y15" s="4" t="e">
        <f>X15*(1+'Tenure Split (WALES)'!F$118)</f>
        <v>#VALUE!</v>
      </c>
      <c r="Z15" s="4" t="e">
        <f>Y15*(1+'Tenure Split (WALES)'!G$118)</f>
        <v>#VALUE!</v>
      </c>
      <c r="AB15" s="1">
        <v>21</v>
      </c>
      <c r="AC15" s="4">
        <f>IF('Tenure Split (WALES)'!$D$18="Land Registry Data",'House Prices (North Wales)'!D15,'House Prices (North Wales)'!V15)</f>
        <v>113124.61438224038</v>
      </c>
      <c r="AD15" s="4">
        <f>IF('Tenure Split (WALES)'!$D$18="Land Registry Data",'House Prices (North Wales)'!E15,'House Prices (North Wales)'!W15)</f>
        <v>113376.49252884387</v>
      </c>
      <c r="AE15" s="4">
        <f>IF('Tenure Split (WALES)'!$D$18="Land Registry Data",'House Prices (North Wales)'!F15,'House Prices (North Wales)'!X15)</f>
        <v>115816.85124032947</v>
      </c>
      <c r="AF15" s="4">
        <f>IF('Tenure Split (WALES)'!$D$18="Land Registry Data",'House Prices (North Wales)'!G15,'House Prices (North Wales)'!Y15)</f>
        <v>120333.61213942993</v>
      </c>
      <c r="AG15" s="4">
        <f>IF('Tenure Split (WALES)'!$D$18="Land Registry Data",'House Prices (North Wales)'!H15,'House Prices (North Wales)'!Z15)</f>
        <v>125325.04121387278</v>
      </c>
      <c r="AI15" s="1" t="s">
        <v>272</v>
      </c>
    </row>
    <row r="16" spans="2:35" x14ac:dyDescent="0.25">
      <c r="B16" s="20">
        <v>22</v>
      </c>
      <c r="C16" s="58">
        <v>112000</v>
      </c>
      <c r="D16" s="59">
        <f>C16*(1+'Tenure Split (North Wales)'!C$118)</f>
        <v>115181.42555282658</v>
      </c>
      <c r="E16" s="59">
        <f>D16*(1+'Tenure Split (North Wales)'!D$118)</f>
        <v>115437.88330209558</v>
      </c>
      <c r="F16" s="59">
        <f>E16*(1+'Tenure Split (North Wales)'!E$118)</f>
        <v>117922.61217197184</v>
      </c>
      <c r="G16" s="59">
        <f>F16*(1+'Tenure Split (North Wales)'!F$118)</f>
        <v>122521.49599651048</v>
      </c>
      <c r="H16" s="59">
        <f>G16*(1+'Tenure Split (North Wales)'!G$118)</f>
        <v>127603.6783268523</v>
      </c>
      <c r="L16" s="64" t="str">
        <f t="shared" si="0"/>
        <v/>
      </c>
      <c r="M16" s="264"/>
      <c r="N16" s="14">
        <f t="shared" si="3"/>
        <v>1</v>
      </c>
      <c r="T16" s="1">
        <f t="shared" si="1"/>
        <v>22</v>
      </c>
      <c r="U16" s="4" t="str">
        <f t="shared" si="2"/>
        <v/>
      </c>
      <c r="V16" s="4" t="e">
        <f>IF($V$3=$M$3,M16,U16*(1+'Tenure Split (WALES)'!C$118))</f>
        <v>#VALUE!</v>
      </c>
      <c r="W16" s="4" t="e">
        <f>V16*(1+'Tenure Split (WALES)'!D$118)</f>
        <v>#VALUE!</v>
      </c>
      <c r="X16" s="4" t="e">
        <f>W16*(1+'Tenure Split (WALES)'!E$118)</f>
        <v>#VALUE!</v>
      </c>
      <c r="Y16" s="4" t="e">
        <f>X16*(1+'Tenure Split (WALES)'!F$118)</f>
        <v>#VALUE!</v>
      </c>
      <c r="Z16" s="4" t="e">
        <f>Y16*(1+'Tenure Split (WALES)'!G$118)</f>
        <v>#VALUE!</v>
      </c>
      <c r="AB16" s="1">
        <v>22</v>
      </c>
      <c r="AC16" s="4">
        <f>IF('Tenure Split (WALES)'!$D$18="Land Registry Data",'House Prices (North Wales)'!D16,'House Prices (North Wales)'!V16)</f>
        <v>115181.42555282658</v>
      </c>
      <c r="AD16" s="4">
        <f>IF('Tenure Split (WALES)'!$D$18="Land Registry Data",'House Prices (North Wales)'!E16,'House Prices (North Wales)'!W16)</f>
        <v>115437.88330209558</v>
      </c>
      <c r="AE16" s="4">
        <f>IF('Tenure Split (WALES)'!$D$18="Land Registry Data",'House Prices (North Wales)'!F16,'House Prices (North Wales)'!X16)</f>
        <v>117922.61217197184</v>
      </c>
      <c r="AF16" s="4">
        <f>IF('Tenure Split (WALES)'!$D$18="Land Registry Data",'House Prices (North Wales)'!G16,'House Prices (North Wales)'!Y16)</f>
        <v>122521.49599651048</v>
      </c>
      <c r="AG16" s="4">
        <f>IF('Tenure Split (WALES)'!$D$18="Land Registry Data",'House Prices (North Wales)'!H16,'House Prices (North Wales)'!Z16)</f>
        <v>127603.6783268523</v>
      </c>
    </row>
    <row r="17" spans="2:33" x14ac:dyDescent="0.25">
      <c r="B17" s="20">
        <v>23</v>
      </c>
      <c r="C17" s="58">
        <v>114000</v>
      </c>
      <c r="D17" s="59">
        <f>C17*(1+'Tenure Split (North Wales)'!C$118)</f>
        <v>117238.23672341277</v>
      </c>
      <c r="E17" s="59">
        <f>D17*(1+'Tenure Split (North Wales)'!D$118)</f>
        <v>117499.27407534729</v>
      </c>
      <c r="F17" s="59">
        <f>E17*(1+'Tenure Split (North Wales)'!E$118)</f>
        <v>120028.3731036142</v>
      </c>
      <c r="G17" s="59">
        <f>F17*(1+'Tenure Split (North Wales)'!F$118)</f>
        <v>124709.37985359103</v>
      </c>
      <c r="H17" s="59">
        <f>G17*(1+'Tenure Split (North Wales)'!G$118)</f>
        <v>129882.31543983181</v>
      </c>
      <c r="L17" s="64" t="str">
        <f t="shared" si="0"/>
        <v/>
      </c>
      <c r="M17" s="264"/>
      <c r="N17" s="14">
        <f t="shared" si="3"/>
        <v>1</v>
      </c>
      <c r="T17" s="1">
        <f t="shared" si="1"/>
        <v>23</v>
      </c>
      <c r="U17" s="4" t="str">
        <f t="shared" si="2"/>
        <v/>
      </c>
      <c r="V17" s="4" t="e">
        <f>IF($V$3=$M$3,M17,U17*(1+'Tenure Split (WALES)'!C$118))</f>
        <v>#VALUE!</v>
      </c>
      <c r="W17" s="4" t="e">
        <f>V17*(1+'Tenure Split (WALES)'!D$118)</f>
        <v>#VALUE!</v>
      </c>
      <c r="X17" s="4" t="e">
        <f>W17*(1+'Tenure Split (WALES)'!E$118)</f>
        <v>#VALUE!</v>
      </c>
      <c r="Y17" s="4" t="e">
        <f>X17*(1+'Tenure Split (WALES)'!F$118)</f>
        <v>#VALUE!</v>
      </c>
      <c r="Z17" s="4" t="e">
        <f>Y17*(1+'Tenure Split (WALES)'!G$118)</f>
        <v>#VALUE!</v>
      </c>
      <c r="AB17" s="1">
        <v>23</v>
      </c>
      <c r="AC17" s="4">
        <f>IF('Tenure Split (WALES)'!$D$18="Land Registry Data",'House Prices (North Wales)'!D17,'House Prices (North Wales)'!V17)</f>
        <v>117238.23672341277</v>
      </c>
      <c r="AD17" s="4">
        <f>IF('Tenure Split (WALES)'!$D$18="Land Registry Data",'House Prices (North Wales)'!E17,'House Prices (North Wales)'!W17)</f>
        <v>117499.27407534729</v>
      </c>
      <c r="AE17" s="4">
        <f>IF('Tenure Split (WALES)'!$D$18="Land Registry Data",'House Prices (North Wales)'!F17,'House Prices (North Wales)'!X17)</f>
        <v>120028.3731036142</v>
      </c>
      <c r="AF17" s="4">
        <f>IF('Tenure Split (WALES)'!$D$18="Land Registry Data",'House Prices (North Wales)'!G17,'House Prices (North Wales)'!Y17)</f>
        <v>124709.37985359103</v>
      </c>
      <c r="AG17" s="4">
        <f>IF('Tenure Split (WALES)'!$D$18="Land Registry Data",'House Prices (North Wales)'!H17,'House Prices (North Wales)'!Z17)</f>
        <v>129882.31543983181</v>
      </c>
    </row>
    <row r="18" spans="2:33" x14ac:dyDescent="0.25">
      <c r="B18" s="20">
        <v>24</v>
      </c>
      <c r="C18" s="58">
        <v>115000</v>
      </c>
      <c r="D18" s="59">
        <f>C18*(1+'Tenure Split (North Wales)'!C$118)</f>
        <v>118266.64230870586</v>
      </c>
      <c r="E18" s="59">
        <f>D18*(1+'Tenure Split (North Wales)'!D$118)</f>
        <v>118529.96946197315</v>
      </c>
      <c r="F18" s="59">
        <f>E18*(1+'Tenure Split (North Wales)'!E$118)</f>
        <v>121081.25356943537</v>
      </c>
      <c r="G18" s="59">
        <f>F18*(1+'Tenure Split (North Wales)'!F$118)</f>
        <v>125803.3217821313</v>
      </c>
      <c r="H18" s="59">
        <f>G18*(1+'Tenure Split (North Wales)'!G$118)</f>
        <v>131021.63399632157</v>
      </c>
      <c r="L18" s="64" t="str">
        <f t="shared" si="0"/>
        <v/>
      </c>
      <c r="M18" s="264"/>
      <c r="N18" s="14">
        <f t="shared" si="3"/>
        <v>1</v>
      </c>
      <c r="T18" s="1">
        <f t="shared" si="1"/>
        <v>24</v>
      </c>
      <c r="U18" s="4" t="str">
        <f t="shared" si="2"/>
        <v/>
      </c>
      <c r="V18" s="4" t="e">
        <f>IF($V$3=$M$3,M18,U18*(1+'Tenure Split (WALES)'!C$118))</f>
        <v>#VALUE!</v>
      </c>
      <c r="W18" s="4" t="e">
        <f>V18*(1+'Tenure Split (WALES)'!D$118)</f>
        <v>#VALUE!</v>
      </c>
      <c r="X18" s="4" t="e">
        <f>W18*(1+'Tenure Split (WALES)'!E$118)</f>
        <v>#VALUE!</v>
      </c>
      <c r="Y18" s="4" t="e">
        <f>X18*(1+'Tenure Split (WALES)'!F$118)</f>
        <v>#VALUE!</v>
      </c>
      <c r="Z18" s="4" t="e">
        <f>Y18*(1+'Tenure Split (WALES)'!G$118)</f>
        <v>#VALUE!</v>
      </c>
      <c r="AB18" s="1">
        <v>24</v>
      </c>
      <c r="AC18" s="4">
        <f>IF('Tenure Split (WALES)'!$D$18="Land Registry Data",'House Prices (North Wales)'!D18,'House Prices (North Wales)'!V18)</f>
        <v>118266.64230870586</v>
      </c>
      <c r="AD18" s="4">
        <f>IF('Tenure Split (WALES)'!$D$18="Land Registry Data",'House Prices (North Wales)'!E18,'House Prices (North Wales)'!W18)</f>
        <v>118529.96946197315</v>
      </c>
      <c r="AE18" s="4">
        <f>IF('Tenure Split (WALES)'!$D$18="Land Registry Data",'House Prices (North Wales)'!F18,'House Prices (North Wales)'!X18)</f>
        <v>121081.25356943537</v>
      </c>
      <c r="AF18" s="4">
        <f>IF('Tenure Split (WALES)'!$D$18="Land Registry Data",'House Prices (North Wales)'!G18,'House Prices (North Wales)'!Y18)</f>
        <v>125803.3217821313</v>
      </c>
      <c r="AG18" s="4">
        <f>IF('Tenure Split (WALES)'!$D$18="Land Registry Data",'House Prices (North Wales)'!H18,'House Prices (North Wales)'!Z18)</f>
        <v>131021.63399632157</v>
      </c>
    </row>
    <row r="19" spans="2:33" x14ac:dyDescent="0.25">
      <c r="B19" s="20">
        <v>25</v>
      </c>
      <c r="C19" s="58">
        <v>116500</v>
      </c>
      <c r="D19" s="59">
        <f>C19*(1+'Tenure Split (North Wales)'!C$118)</f>
        <v>119809.25068664551</v>
      </c>
      <c r="E19" s="59">
        <f>D19*(1+'Tenure Split (North Wales)'!D$118)</f>
        <v>120076.01254191193</v>
      </c>
      <c r="F19" s="59">
        <f>E19*(1+'Tenure Split (North Wales)'!E$118)</f>
        <v>122660.57426816714</v>
      </c>
      <c r="G19" s="59">
        <f>F19*(1+'Tenure Split (North Wales)'!F$118)</f>
        <v>127444.23467494172</v>
      </c>
      <c r="H19" s="59">
        <f>G19*(1+'Tenure Split (North Wales)'!G$118)</f>
        <v>132730.61183105622</v>
      </c>
      <c r="L19" s="64" t="str">
        <f t="shared" si="0"/>
        <v/>
      </c>
      <c r="M19" s="264"/>
      <c r="N19" s="14">
        <f t="shared" si="3"/>
        <v>1</v>
      </c>
      <c r="T19" s="1">
        <f t="shared" si="1"/>
        <v>25</v>
      </c>
      <c r="U19" s="4" t="str">
        <f t="shared" si="2"/>
        <v/>
      </c>
      <c r="V19" s="4" t="e">
        <f>IF($V$3=$M$3,M19,U19*(1+'Tenure Split (WALES)'!C$118))</f>
        <v>#VALUE!</v>
      </c>
      <c r="W19" s="4" t="e">
        <f>V19*(1+'Tenure Split (WALES)'!D$118)</f>
        <v>#VALUE!</v>
      </c>
      <c r="X19" s="4" t="e">
        <f>W19*(1+'Tenure Split (WALES)'!E$118)</f>
        <v>#VALUE!</v>
      </c>
      <c r="Y19" s="4" t="e">
        <f>X19*(1+'Tenure Split (WALES)'!F$118)</f>
        <v>#VALUE!</v>
      </c>
      <c r="Z19" s="4" t="e">
        <f>Y19*(1+'Tenure Split (WALES)'!G$118)</f>
        <v>#VALUE!</v>
      </c>
      <c r="AB19" s="1">
        <v>25</v>
      </c>
      <c r="AC19" s="4">
        <f>IF('Tenure Split (WALES)'!$D$18="Land Registry Data",'House Prices (North Wales)'!D19,'House Prices (North Wales)'!V19)</f>
        <v>119809.25068664551</v>
      </c>
      <c r="AD19" s="4">
        <f>IF('Tenure Split (WALES)'!$D$18="Land Registry Data",'House Prices (North Wales)'!E19,'House Prices (North Wales)'!W19)</f>
        <v>120076.01254191193</v>
      </c>
      <c r="AE19" s="4">
        <f>IF('Tenure Split (WALES)'!$D$18="Land Registry Data",'House Prices (North Wales)'!F19,'House Prices (North Wales)'!X19)</f>
        <v>122660.57426816714</v>
      </c>
      <c r="AF19" s="4">
        <f>IF('Tenure Split (WALES)'!$D$18="Land Registry Data",'House Prices (North Wales)'!G19,'House Prices (North Wales)'!Y19)</f>
        <v>127444.23467494172</v>
      </c>
      <c r="AG19" s="4">
        <f>IF('Tenure Split (WALES)'!$D$18="Land Registry Data",'House Prices (North Wales)'!H19,'House Prices (North Wales)'!Z19)</f>
        <v>132730.61183105622</v>
      </c>
    </row>
    <row r="20" spans="2:33" x14ac:dyDescent="0.25">
      <c r="B20" s="20">
        <v>26</v>
      </c>
      <c r="C20" s="58">
        <v>118000</v>
      </c>
      <c r="D20" s="59">
        <f>C20*(1+'Tenure Split (North Wales)'!C$118)</f>
        <v>121351.85906458515</v>
      </c>
      <c r="E20" s="59">
        <f>D20*(1+'Tenure Split (North Wales)'!D$118)</f>
        <v>121622.05562185071</v>
      </c>
      <c r="F20" s="59">
        <f>E20*(1+'Tenure Split (North Wales)'!E$118)</f>
        <v>124239.89496689891</v>
      </c>
      <c r="G20" s="59">
        <f>F20*(1+'Tenure Split (North Wales)'!F$118)</f>
        <v>129085.14756775212</v>
      </c>
      <c r="H20" s="59">
        <f>G20*(1+'Tenure Split (North Wales)'!G$118)</f>
        <v>134439.58966579085</v>
      </c>
      <c r="L20" s="64" t="str">
        <f t="shared" si="0"/>
        <v/>
      </c>
      <c r="M20" s="264"/>
      <c r="N20" s="14">
        <f t="shared" si="3"/>
        <v>1</v>
      </c>
      <c r="T20" s="1">
        <f t="shared" si="1"/>
        <v>26</v>
      </c>
      <c r="U20" s="4" t="str">
        <f t="shared" si="2"/>
        <v/>
      </c>
      <c r="V20" s="4" t="e">
        <f>IF($V$3=$M$3,M20,U20*(1+'Tenure Split (WALES)'!C$118))</f>
        <v>#VALUE!</v>
      </c>
      <c r="W20" s="4" t="e">
        <f>V20*(1+'Tenure Split (WALES)'!D$118)</f>
        <v>#VALUE!</v>
      </c>
      <c r="X20" s="4" t="e">
        <f>W20*(1+'Tenure Split (WALES)'!E$118)</f>
        <v>#VALUE!</v>
      </c>
      <c r="Y20" s="4" t="e">
        <f>X20*(1+'Tenure Split (WALES)'!F$118)</f>
        <v>#VALUE!</v>
      </c>
      <c r="Z20" s="4" t="e">
        <f>Y20*(1+'Tenure Split (WALES)'!G$118)</f>
        <v>#VALUE!</v>
      </c>
      <c r="AB20" s="1">
        <v>26</v>
      </c>
      <c r="AC20" s="4">
        <f>IF('Tenure Split (WALES)'!$D$18="Land Registry Data",'House Prices (North Wales)'!D20,'House Prices (North Wales)'!V20)</f>
        <v>121351.85906458515</v>
      </c>
      <c r="AD20" s="4">
        <f>IF('Tenure Split (WALES)'!$D$18="Land Registry Data",'House Prices (North Wales)'!E20,'House Prices (North Wales)'!W20)</f>
        <v>121622.05562185071</v>
      </c>
      <c r="AE20" s="4">
        <f>IF('Tenure Split (WALES)'!$D$18="Land Registry Data",'House Prices (North Wales)'!F20,'House Prices (North Wales)'!X20)</f>
        <v>124239.89496689891</v>
      </c>
      <c r="AF20" s="4">
        <f>IF('Tenure Split (WALES)'!$D$18="Land Registry Data",'House Prices (North Wales)'!G20,'House Prices (North Wales)'!Y20)</f>
        <v>129085.14756775212</v>
      </c>
      <c r="AG20" s="4">
        <f>IF('Tenure Split (WALES)'!$D$18="Land Registry Data",'House Prices (North Wales)'!H20,'House Prices (North Wales)'!Z20)</f>
        <v>134439.58966579085</v>
      </c>
    </row>
    <row r="21" spans="2:33" x14ac:dyDescent="0.25">
      <c r="B21" s="20">
        <v>27</v>
      </c>
      <c r="C21" s="58">
        <v>120000</v>
      </c>
      <c r="D21" s="59">
        <f>C21*(1+'Tenure Split (North Wales)'!C$118)</f>
        <v>123408.67023517133</v>
      </c>
      <c r="E21" s="59">
        <f>D21*(1+'Tenure Split (North Wales)'!D$118)</f>
        <v>123683.44639510241</v>
      </c>
      <c r="F21" s="59">
        <f>E21*(1+'Tenure Split (North Wales)'!E$118)</f>
        <v>126345.65589854126</v>
      </c>
      <c r="G21" s="59">
        <f>F21*(1+'Tenure Split (North Wales)'!F$118)</f>
        <v>131273.03142483268</v>
      </c>
      <c r="H21" s="59">
        <f>G21*(1+'Tenure Split (North Wales)'!G$118)</f>
        <v>136718.22677877033</v>
      </c>
      <c r="L21" s="64" t="str">
        <f t="shared" si="0"/>
        <v/>
      </c>
      <c r="M21" s="264"/>
      <c r="N21" s="14">
        <f t="shared" si="3"/>
        <v>1</v>
      </c>
      <c r="T21" s="1">
        <f t="shared" si="1"/>
        <v>27</v>
      </c>
      <c r="U21" s="4" t="str">
        <f t="shared" si="2"/>
        <v/>
      </c>
      <c r="V21" s="4" t="e">
        <f>IF($V$3=$M$3,M21,U21*(1+'Tenure Split (WALES)'!C$118))</f>
        <v>#VALUE!</v>
      </c>
      <c r="W21" s="4" t="e">
        <f>V21*(1+'Tenure Split (WALES)'!D$118)</f>
        <v>#VALUE!</v>
      </c>
      <c r="X21" s="4" t="e">
        <f>W21*(1+'Tenure Split (WALES)'!E$118)</f>
        <v>#VALUE!</v>
      </c>
      <c r="Y21" s="4" t="e">
        <f>X21*(1+'Tenure Split (WALES)'!F$118)</f>
        <v>#VALUE!</v>
      </c>
      <c r="Z21" s="4" t="e">
        <f>Y21*(1+'Tenure Split (WALES)'!G$118)</f>
        <v>#VALUE!</v>
      </c>
      <c r="AB21" s="1">
        <v>27</v>
      </c>
      <c r="AC21" s="4">
        <f>IF('Tenure Split (WALES)'!$D$18="Land Registry Data",'House Prices (North Wales)'!D21,'House Prices (North Wales)'!V21)</f>
        <v>123408.67023517133</v>
      </c>
      <c r="AD21" s="4">
        <f>IF('Tenure Split (WALES)'!$D$18="Land Registry Data",'House Prices (North Wales)'!E21,'House Prices (North Wales)'!W21)</f>
        <v>123683.44639510241</v>
      </c>
      <c r="AE21" s="4">
        <f>IF('Tenure Split (WALES)'!$D$18="Land Registry Data",'House Prices (North Wales)'!F21,'House Prices (North Wales)'!X21)</f>
        <v>126345.65589854126</v>
      </c>
      <c r="AF21" s="4">
        <f>IF('Tenure Split (WALES)'!$D$18="Land Registry Data",'House Prices (North Wales)'!G21,'House Prices (North Wales)'!Y21)</f>
        <v>131273.03142483268</v>
      </c>
      <c r="AG21" s="4">
        <f>IF('Tenure Split (WALES)'!$D$18="Land Registry Data",'House Prices (North Wales)'!H21,'House Prices (North Wales)'!Z21)</f>
        <v>136718.22677877033</v>
      </c>
    </row>
    <row r="22" spans="2:33" x14ac:dyDescent="0.25">
      <c r="B22" s="20">
        <v>28</v>
      </c>
      <c r="C22" s="58">
        <v>120000</v>
      </c>
      <c r="D22" s="59">
        <f>C22*(1+'Tenure Split (North Wales)'!C$118)</f>
        <v>123408.67023517133</v>
      </c>
      <c r="E22" s="59">
        <f>D22*(1+'Tenure Split (North Wales)'!D$118)</f>
        <v>123683.44639510241</v>
      </c>
      <c r="F22" s="59">
        <f>E22*(1+'Tenure Split (North Wales)'!E$118)</f>
        <v>126345.65589854126</v>
      </c>
      <c r="G22" s="59">
        <f>F22*(1+'Tenure Split (North Wales)'!F$118)</f>
        <v>131273.03142483268</v>
      </c>
      <c r="H22" s="59">
        <f>G22*(1+'Tenure Split (North Wales)'!G$118)</f>
        <v>136718.22677877033</v>
      </c>
      <c r="L22" s="64" t="str">
        <f t="shared" si="0"/>
        <v/>
      </c>
      <c r="M22" s="264"/>
      <c r="N22" s="14">
        <f t="shared" si="3"/>
        <v>1</v>
      </c>
      <c r="T22" s="1">
        <f t="shared" si="1"/>
        <v>28</v>
      </c>
      <c r="U22" s="4" t="str">
        <f t="shared" si="2"/>
        <v/>
      </c>
      <c r="V22" s="4" t="e">
        <f>IF($V$3=$M$3,M22,U22*(1+'Tenure Split (WALES)'!C$118))</f>
        <v>#VALUE!</v>
      </c>
      <c r="W22" s="4" t="e">
        <f>V22*(1+'Tenure Split (WALES)'!D$118)</f>
        <v>#VALUE!</v>
      </c>
      <c r="X22" s="4" t="e">
        <f>W22*(1+'Tenure Split (WALES)'!E$118)</f>
        <v>#VALUE!</v>
      </c>
      <c r="Y22" s="4" t="e">
        <f>X22*(1+'Tenure Split (WALES)'!F$118)</f>
        <v>#VALUE!</v>
      </c>
      <c r="Z22" s="4" t="e">
        <f>Y22*(1+'Tenure Split (WALES)'!G$118)</f>
        <v>#VALUE!</v>
      </c>
      <c r="AB22" s="1">
        <v>28</v>
      </c>
      <c r="AC22" s="4">
        <f>IF('Tenure Split (WALES)'!$D$18="Land Registry Data",'House Prices (North Wales)'!D22,'House Prices (North Wales)'!V22)</f>
        <v>123408.67023517133</v>
      </c>
      <c r="AD22" s="4">
        <f>IF('Tenure Split (WALES)'!$D$18="Land Registry Data",'House Prices (North Wales)'!E22,'House Prices (North Wales)'!W22)</f>
        <v>123683.44639510241</v>
      </c>
      <c r="AE22" s="4">
        <f>IF('Tenure Split (WALES)'!$D$18="Land Registry Data",'House Prices (North Wales)'!F22,'House Prices (North Wales)'!X22)</f>
        <v>126345.65589854126</v>
      </c>
      <c r="AF22" s="4">
        <f>IF('Tenure Split (WALES)'!$D$18="Land Registry Data",'House Prices (North Wales)'!G22,'House Prices (North Wales)'!Y22)</f>
        <v>131273.03142483268</v>
      </c>
      <c r="AG22" s="4">
        <f>IF('Tenure Split (WALES)'!$D$18="Land Registry Data",'House Prices (North Wales)'!H22,'House Prices (North Wales)'!Z22)</f>
        <v>136718.22677877033</v>
      </c>
    </row>
    <row r="23" spans="2:33" x14ac:dyDescent="0.25">
      <c r="B23" s="20">
        <v>29</v>
      </c>
      <c r="C23" s="58">
        <v>122000</v>
      </c>
      <c r="D23" s="59">
        <f>C23*(1+'Tenure Split (North Wales)'!C$118)</f>
        <v>125465.48140575753</v>
      </c>
      <c r="E23" s="59">
        <f>D23*(1+'Tenure Split (North Wales)'!D$118)</f>
        <v>125744.83716835412</v>
      </c>
      <c r="F23" s="59">
        <f>E23*(1+'Tenure Split (North Wales)'!E$118)</f>
        <v>128451.41683018362</v>
      </c>
      <c r="G23" s="59">
        <f>F23*(1+'Tenure Split (North Wales)'!F$118)</f>
        <v>133460.91528191321</v>
      </c>
      <c r="H23" s="59">
        <f>G23*(1+'Tenure Split (North Wales)'!G$118)</f>
        <v>138996.86389174985</v>
      </c>
      <c r="L23" s="64" t="str">
        <f t="shared" si="0"/>
        <v/>
      </c>
      <c r="M23" s="264"/>
      <c r="N23" s="14">
        <f t="shared" si="3"/>
        <v>1</v>
      </c>
      <c r="T23" s="1">
        <f t="shared" si="1"/>
        <v>29</v>
      </c>
      <c r="U23" s="4" t="str">
        <f t="shared" si="2"/>
        <v/>
      </c>
      <c r="V23" s="4" t="e">
        <f>IF($V$3=$M$3,M23,U23*(1+'Tenure Split (WALES)'!C$118))</f>
        <v>#VALUE!</v>
      </c>
      <c r="W23" s="4" t="e">
        <f>V23*(1+'Tenure Split (WALES)'!D$118)</f>
        <v>#VALUE!</v>
      </c>
      <c r="X23" s="4" t="e">
        <f>W23*(1+'Tenure Split (WALES)'!E$118)</f>
        <v>#VALUE!</v>
      </c>
      <c r="Y23" s="4" t="e">
        <f>X23*(1+'Tenure Split (WALES)'!F$118)</f>
        <v>#VALUE!</v>
      </c>
      <c r="Z23" s="4" t="e">
        <f>Y23*(1+'Tenure Split (WALES)'!G$118)</f>
        <v>#VALUE!</v>
      </c>
      <c r="AB23" s="1">
        <v>29</v>
      </c>
      <c r="AC23" s="4">
        <f>IF('Tenure Split (WALES)'!$D$18="Land Registry Data",'House Prices (North Wales)'!D23,'House Prices (North Wales)'!V23)</f>
        <v>125465.48140575753</v>
      </c>
      <c r="AD23" s="4">
        <f>IF('Tenure Split (WALES)'!$D$18="Land Registry Data",'House Prices (North Wales)'!E23,'House Prices (North Wales)'!W23)</f>
        <v>125744.83716835412</v>
      </c>
      <c r="AE23" s="4">
        <f>IF('Tenure Split (WALES)'!$D$18="Land Registry Data",'House Prices (North Wales)'!F23,'House Prices (North Wales)'!X23)</f>
        <v>128451.41683018362</v>
      </c>
      <c r="AF23" s="4">
        <f>IF('Tenure Split (WALES)'!$D$18="Land Registry Data",'House Prices (North Wales)'!G23,'House Prices (North Wales)'!Y23)</f>
        <v>133460.91528191321</v>
      </c>
      <c r="AG23" s="4">
        <f>IF('Tenure Split (WALES)'!$D$18="Land Registry Data",'House Prices (North Wales)'!H23,'House Prices (North Wales)'!Z23)</f>
        <v>138996.86389174985</v>
      </c>
    </row>
    <row r="24" spans="2:33" x14ac:dyDescent="0.25">
      <c r="B24" s="20">
        <v>30</v>
      </c>
      <c r="C24" s="58">
        <v>123500</v>
      </c>
      <c r="D24" s="59">
        <f>C24*(1+'Tenure Split (North Wales)'!C$118)</f>
        <v>127008.08978369717</v>
      </c>
      <c r="E24" s="59">
        <f>D24*(1+'Tenure Split (North Wales)'!D$118)</f>
        <v>127290.8802482929</v>
      </c>
      <c r="F24" s="59">
        <f>E24*(1+'Tenure Split (North Wales)'!E$118)</f>
        <v>130030.73752891539</v>
      </c>
      <c r="G24" s="59">
        <f>F24*(1+'Tenure Split (North Wales)'!F$118)</f>
        <v>135101.82817472363</v>
      </c>
      <c r="H24" s="59">
        <f>G24*(1+'Tenure Split (North Wales)'!G$118)</f>
        <v>140705.84172648448</v>
      </c>
      <c r="L24" s="64" t="str">
        <f t="shared" si="0"/>
        <v/>
      </c>
      <c r="M24" s="264"/>
      <c r="N24" s="14">
        <f t="shared" si="3"/>
        <v>1</v>
      </c>
      <c r="T24" s="1">
        <f t="shared" si="1"/>
        <v>30</v>
      </c>
      <c r="U24" s="4" t="str">
        <f t="shared" si="2"/>
        <v/>
      </c>
      <c r="V24" s="4" t="e">
        <f>IF($V$3=$M$3,M24,U24*(1+'Tenure Split (WALES)'!C$118))</f>
        <v>#VALUE!</v>
      </c>
      <c r="W24" s="4" t="e">
        <f>V24*(1+'Tenure Split (WALES)'!D$118)</f>
        <v>#VALUE!</v>
      </c>
      <c r="X24" s="4" t="e">
        <f>W24*(1+'Tenure Split (WALES)'!E$118)</f>
        <v>#VALUE!</v>
      </c>
      <c r="Y24" s="4" t="e">
        <f>X24*(1+'Tenure Split (WALES)'!F$118)</f>
        <v>#VALUE!</v>
      </c>
      <c r="Z24" s="4" t="e">
        <f>Y24*(1+'Tenure Split (WALES)'!G$118)</f>
        <v>#VALUE!</v>
      </c>
      <c r="AB24" s="1">
        <v>30</v>
      </c>
      <c r="AC24" s="4">
        <f>IF('Tenure Split (WALES)'!$D$18="Land Registry Data",'House Prices (North Wales)'!D24,'House Prices (North Wales)'!V24)</f>
        <v>127008.08978369717</v>
      </c>
      <c r="AD24" s="4">
        <f>IF('Tenure Split (WALES)'!$D$18="Land Registry Data",'House Prices (North Wales)'!E24,'House Prices (North Wales)'!W24)</f>
        <v>127290.8802482929</v>
      </c>
      <c r="AE24" s="4">
        <f>IF('Tenure Split (WALES)'!$D$18="Land Registry Data",'House Prices (North Wales)'!F24,'House Prices (North Wales)'!X24)</f>
        <v>130030.73752891539</v>
      </c>
      <c r="AF24" s="4">
        <f>IF('Tenure Split (WALES)'!$D$18="Land Registry Data",'House Prices (North Wales)'!G24,'House Prices (North Wales)'!Y24)</f>
        <v>135101.82817472363</v>
      </c>
      <c r="AG24" s="4">
        <f>IF('Tenure Split (WALES)'!$D$18="Land Registry Data",'House Prices (North Wales)'!H24,'House Prices (North Wales)'!Z24)</f>
        <v>140705.84172648448</v>
      </c>
    </row>
    <row r="25" spans="2:33" x14ac:dyDescent="0.25">
      <c r="B25" s="20">
        <v>31</v>
      </c>
      <c r="C25" s="58">
        <v>125000</v>
      </c>
      <c r="D25" s="59">
        <f>C25*(1+'Tenure Split (North Wales)'!C$118)</f>
        <v>128550.6981616368</v>
      </c>
      <c r="E25" s="59">
        <f>D25*(1+'Tenure Split (North Wales)'!D$118)</f>
        <v>128836.92332823167</v>
      </c>
      <c r="F25" s="59">
        <f>E25*(1+'Tenure Split (North Wales)'!E$118)</f>
        <v>131610.05822764715</v>
      </c>
      <c r="G25" s="59">
        <f>F25*(1+'Tenure Split (North Wales)'!F$118)</f>
        <v>136742.74106753402</v>
      </c>
      <c r="H25" s="59">
        <f>G25*(1+'Tenure Split (North Wales)'!G$118)</f>
        <v>142414.8195612191</v>
      </c>
      <c r="L25" s="64" t="str">
        <f t="shared" si="0"/>
        <v/>
      </c>
      <c r="M25" s="264"/>
      <c r="N25" s="14">
        <f t="shared" si="3"/>
        <v>1</v>
      </c>
      <c r="T25" s="1">
        <f t="shared" si="1"/>
        <v>31</v>
      </c>
      <c r="U25" s="4" t="str">
        <f t="shared" si="2"/>
        <v/>
      </c>
      <c r="V25" s="4" t="e">
        <f>IF($V$3=$M$3,M25,U25*(1+'Tenure Split (WALES)'!C$118))</f>
        <v>#VALUE!</v>
      </c>
      <c r="W25" s="4" t="e">
        <f>V25*(1+'Tenure Split (WALES)'!D$118)</f>
        <v>#VALUE!</v>
      </c>
      <c r="X25" s="4" t="e">
        <f>W25*(1+'Tenure Split (WALES)'!E$118)</f>
        <v>#VALUE!</v>
      </c>
      <c r="Y25" s="4" t="e">
        <f>X25*(1+'Tenure Split (WALES)'!F$118)</f>
        <v>#VALUE!</v>
      </c>
      <c r="Z25" s="4" t="e">
        <f>Y25*(1+'Tenure Split (WALES)'!G$118)</f>
        <v>#VALUE!</v>
      </c>
      <c r="AB25" s="1">
        <v>31</v>
      </c>
      <c r="AC25" s="4">
        <f>IF('Tenure Split (WALES)'!$D$18="Land Registry Data",'House Prices (North Wales)'!D25,'House Prices (North Wales)'!V25)</f>
        <v>128550.6981616368</v>
      </c>
      <c r="AD25" s="4">
        <f>IF('Tenure Split (WALES)'!$D$18="Land Registry Data",'House Prices (North Wales)'!E25,'House Prices (North Wales)'!W25)</f>
        <v>128836.92332823167</v>
      </c>
      <c r="AE25" s="4">
        <f>IF('Tenure Split (WALES)'!$D$18="Land Registry Data",'House Prices (North Wales)'!F25,'House Prices (North Wales)'!X25)</f>
        <v>131610.05822764715</v>
      </c>
      <c r="AF25" s="4">
        <f>IF('Tenure Split (WALES)'!$D$18="Land Registry Data",'House Prices (North Wales)'!G25,'House Prices (North Wales)'!Y25)</f>
        <v>136742.74106753402</v>
      </c>
      <c r="AG25" s="4">
        <f>IF('Tenure Split (WALES)'!$D$18="Land Registry Data",'House Prices (North Wales)'!H25,'House Prices (North Wales)'!Z25)</f>
        <v>142414.8195612191</v>
      </c>
    </row>
    <row r="26" spans="2:33" x14ac:dyDescent="0.25">
      <c r="B26" s="20">
        <v>32</v>
      </c>
      <c r="C26" s="58">
        <v>125000</v>
      </c>
      <c r="D26" s="59">
        <f>C26*(1+'Tenure Split (North Wales)'!C$118)</f>
        <v>128550.6981616368</v>
      </c>
      <c r="E26" s="59">
        <f>D26*(1+'Tenure Split (North Wales)'!D$118)</f>
        <v>128836.92332823167</v>
      </c>
      <c r="F26" s="59">
        <f>E26*(1+'Tenure Split (North Wales)'!E$118)</f>
        <v>131610.05822764715</v>
      </c>
      <c r="G26" s="59">
        <f>F26*(1+'Tenure Split (North Wales)'!F$118)</f>
        <v>136742.74106753402</v>
      </c>
      <c r="H26" s="59">
        <f>G26*(1+'Tenure Split (North Wales)'!G$118)</f>
        <v>142414.8195612191</v>
      </c>
      <c r="L26" s="64" t="str">
        <f t="shared" si="0"/>
        <v/>
      </c>
      <c r="M26" s="264"/>
      <c r="N26" s="14">
        <f t="shared" si="3"/>
        <v>1</v>
      </c>
      <c r="T26" s="1">
        <f t="shared" si="1"/>
        <v>32</v>
      </c>
      <c r="U26" s="4" t="str">
        <f t="shared" si="2"/>
        <v/>
      </c>
      <c r="V26" s="4" t="e">
        <f>IF($V$3=$M$3,M26,U26*(1+'Tenure Split (WALES)'!C$118))</f>
        <v>#VALUE!</v>
      </c>
      <c r="W26" s="4" t="e">
        <f>V26*(1+'Tenure Split (WALES)'!D$118)</f>
        <v>#VALUE!</v>
      </c>
      <c r="X26" s="4" t="e">
        <f>W26*(1+'Tenure Split (WALES)'!E$118)</f>
        <v>#VALUE!</v>
      </c>
      <c r="Y26" s="4" t="e">
        <f>X26*(1+'Tenure Split (WALES)'!F$118)</f>
        <v>#VALUE!</v>
      </c>
      <c r="Z26" s="4" t="e">
        <f>Y26*(1+'Tenure Split (WALES)'!G$118)</f>
        <v>#VALUE!</v>
      </c>
      <c r="AB26" s="1">
        <v>32</v>
      </c>
      <c r="AC26" s="4">
        <f>IF('Tenure Split (WALES)'!$D$18="Land Registry Data",'House Prices (North Wales)'!D26,'House Prices (North Wales)'!V26)</f>
        <v>128550.6981616368</v>
      </c>
      <c r="AD26" s="4">
        <f>IF('Tenure Split (WALES)'!$D$18="Land Registry Data",'House Prices (North Wales)'!E26,'House Prices (North Wales)'!W26)</f>
        <v>128836.92332823167</v>
      </c>
      <c r="AE26" s="4">
        <f>IF('Tenure Split (WALES)'!$D$18="Land Registry Data",'House Prices (North Wales)'!F26,'House Prices (North Wales)'!X26)</f>
        <v>131610.05822764715</v>
      </c>
      <c r="AF26" s="4">
        <f>IF('Tenure Split (WALES)'!$D$18="Land Registry Data",'House Prices (North Wales)'!G26,'House Prices (North Wales)'!Y26)</f>
        <v>136742.74106753402</v>
      </c>
      <c r="AG26" s="4">
        <f>IF('Tenure Split (WALES)'!$D$18="Land Registry Data",'House Prices (North Wales)'!H26,'House Prices (North Wales)'!Z26)</f>
        <v>142414.8195612191</v>
      </c>
    </row>
    <row r="27" spans="2:33" x14ac:dyDescent="0.25">
      <c r="B27" s="20">
        <v>33</v>
      </c>
      <c r="C27" s="58">
        <v>127000</v>
      </c>
      <c r="D27" s="59">
        <f>C27*(1+'Tenure Split (North Wales)'!C$118)</f>
        <v>130607.50933222299</v>
      </c>
      <c r="E27" s="59">
        <f>D27*(1+'Tenure Split (North Wales)'!D$118)</f>
        <v>130898.31410148338</v>
      </c>
      <c r="F27" s="59">
        <f>E27*(1+'Tenure Split (North Wales)'!E$118)</f>
        <v>133715.8191592895</v>
      </c>
      <c r="G27" s="59">
        <f>F27*(1+'Tenure Split (North Wales)'!F$118)</f>
        <v>138930.62492461456</v>
      </c>
      <c r="H27" s="59">
        <f>G27*(1+'Tenure Split (North Wales)'!G$118)</f>
        <v>144693.45667419859</v>
      </c>
      <c r="L27" s="64" t="str">
        <f t="shared" si="0"/>
        <v/>
      </c>
      <c r="M27" s="264"/>
      <c r="N27" s="14">
        <f t="shared" si="3"/>
        <v>1</v>
      </c>
      <c r="T27" s="1">
        <f t="shared" si="1"/>
        <v>33</v>
      </c>
      <c r="U27" s="4" t="str">
        <f t="shared" si="2"/>
        <v/>
      </c>
      <c r="V27" s="4" t="e">
        <f>IF($V$3=$M$3,M27,U27*(1+'Tenure Split (WALES)'!C$118))</f>
        <v>#VALUE!</v>
      </c>
      <c r="W27" s="4" t="e">
        <f>V27*(1+'Tenure Split (WALES)'!D$118)</f>
        <v>#VALUE!</v>
      </c>
      <c r="X27" s="4" t="e">
        <f>W27*(1+'Tenure Split (WALES)'!E$118)</f>
        <v>#VALUE!</v>
      </c>
      <c r="Y27" s="4" t="e">
        <f>X27*(1+'Tenure Split (WALES)'!F$118)</f>
        <v>#VALUE!</v>
      </c>
      <c r="Z27" s="4" t="e">
        <f>Y27*(1+'Tenure Split (WALES)'!G$118)</f>
        <v>#VALUE!</v>
      </c>
      <c r="AB27" s="1">
        <v>33</v>
      </c>
      <c r="AC27" s="4">
        <f>IF('Tenure Split (WALES)'!$D$18="Land Registry Data",'House Prices (North Wales)'!D27,'House Prices (North Wales)'!V27)</f>
        <v>130607.50933222299</v>
      </c>
      <c r="AD27" s="4">
        <f>IF('Tenure Split (WALES)'!$D$18="Land Registry Data",'House Prices (North Wales)'!E27,'House Prices (North Wales)'!W27)</f>
        <v>130898.31410148338</v>
      </c>
      <c r="AE27" s="4">
        <f>IF('Tenure Split (WALES)'!$D$18="Land Registry Data",'House Prices (North Wales)'!F27,'House Prices (North Wales)'!X27)</f>
        <v>133715.8191592895</v>
      </c>
      <c r="AF27" s="4">
        <f>IF('Tenure Split (WALES)'!$D$18="Land Registry Data",'House Prices (North Wales)'!G27,'House Prices (North Wales)'!Y27)</f>
        <v>138930.62492461456</v>
      </c>
      <c r="AG27" s="4">
        <f>IF('Tenure Split (WALES)'!$D$18="Land Registry Data",'House Prices (North Wales)'!H27,'House Prices (North Wales)'!Z27)</f>
        <v>144693.45667419859</v>
      </c>
    </row>
    <row r="28" spans="2:33" x14ac:dyDescent="0.25">
      <c r="B28" s="20">
        <v>34</v>
      </c>
      <c r="C28" s="58">
        <v>128500</v>
      </c>
      <c r="D28" s="59">
        <f>C28*(1+'Tenure Split (North Wales)'!C$118)</f>
        <v>132150.11771016262</v>
      </c>
      <c r="E28" s="59">
        <f>D28*(1+'Tenure Split (North Wales)'!D$118)</f>
        <v>132444.35718142215</v>
      </c>
      <c r="F28" s="59">
        <f>E28*(1+'Tenure Split (North Wales)'!E$118)</f>
        <v>135295.13985802126</v>
      </c>
      <c r="G28" s="59">
        <f>F28*(1+'Tenure Split (North Wales)'!F$118)</f>
        <v>140571.53781742498</v>
      </c>
      <c r="H28" s="59">
        <f>G28*(1+'Tenure Split (North Wales)'!G$118)</f>
        <v>146402.43450893322</v>
      </c>
      <c r="L28" s="64" t="str">
        <f t="shared" si="0"/>
        <v/>
      </c>
      <c r="M28" s="264"/>
      <c r="N28" s="14">
        <f t="shared" si="3"/>
        <v>1</v>
      </c>
      <c r="T28" s="1">
        <f t="shared" si="1"/>
        <v>34</v>
      </c>
      <c r="U28" s="4" t="str">
        <f t="shared" si="2"/>
        <v/>
      </c>
      <c r="V28" s="4" t="e">
        <f>IF($V$3=$M$3,M28,U28*(1+'Tenure Split (WALES)'!C$118))</f>
        <v>#VALUE!</v>
      </c>
      <c r="W28" s="4" t="e">
        <f>V28*(1+'Tenure Split (WALES)'!D$118)</f>
        <v>#VALUE!</v>
      </c>
      <c r="X28" s="4" t="e">
        <f>W28*(1+'Tenure Split (WALES)'!E$118)</f>
        <v>#VALUE!</v>
      </c>
      <c r="Y28" s="4" t="e">
        <f>X28*(1+'Tenure Split (WALES)'!F$118)</f>
        <v>#VALUE!</v>
      </c>
      <c r="Z28" s="4" t="e">
        <f>Y28*(1+'Tenure Split (WALES)'!G$118)</f>
        <v>#VALUE!</v>
      </c>
      <c r="AB28" s="1">
        <v>34</v>
      </c>
      <c r="AC28" s="4">
        <f>IF('Tenure Split (WALES)'!$D$18="Land Registry Data",'House Prices (North Wales)'!D28,'House Prices (North Wales)'!V28)</f>
        <v>132150.11771016262</v>
      </c>
      <c r="AD28" s="4">
        <f>IF('Tenure Split (WALES)'!$D$18="Land Registry Data",'House Prices (North Wales)'!E28,'House Prices (North Wales)'!W28)</f>
        <v>132444.35718142215</v>
      </c>
      <c r="AE28" s="4">
        <f>IF('Tenure Split (WALES)'!$D$18="Land Registry Data",'House Prices (North Wales)'!F28,'House Prices (North Wales)'!X28)</f>
        <v>135295.13985802126</v>
      </c>
      <c r="AF28" s="4">
        <f>IF('Tenure Split (WALES)'!$D$18="Land Registry Data",'House Prices (North Wales)'!G28,'House Prices (North Wales)'!Y28)</f>
        <v>140571.53781742498</v>
      </c>
      <c r="AG28" s="4">
        <f>IF('Tenure Split (WALES)'!$D$18="Land Registry Data",'House Prices (North Wales)'!H28,'House Prices (North Wales)'!Z28)</f>
        <v>146402.43450893322</v>
      </c>
    </row>
    <row r="29" spans="2:33" x14ac:dyDescent="0.25">
      <c r="B29" s="20">
        <v>35</v>
      </c>
      <c r="C29" s="58">
        <v>130000</v>
      </c>
      <c r="D29" s="59">
        <f>C29*(1+'Tenure Split (North Wales)'!C$118)</f>
        <v>133692.72608810227</v>
      </c>
      <c r="E29" s="59">
        <f>D29*(1+'Tenure Split (North Wales)'!D$118)</f>
        <v>133990.40026136092</v>
      </c>
      <c r="F29" s="59">
        <f>E29*(1+'Tenure Split (North Wales)'!E$118)</f>
        <v>136874.46055675301</v>
      </c>
      <c r="G29" s="59">
        <f>F29*(1+'Tenure Split (North Wales)'!F$118)</f>
        <v>142212.45071023537</v>
      </c>
      <c r="H29" s="59">
        <f>G29*(1+'Tenure Split (North Wales)'!G$118)</f>
        <v>148111.41234366785</v>
      </c>
      <c r="L29" s="64" t="str">
        <f t="shared" si="0"/>
        <v/>
      </c>
      <c r="M29" s="264"/>
      <c r="N29" s="14">
        <f t="shared" si="3"/>
        <v>1</v>
      </c>
      <c r="T29" s="1">
        <f t="shared" si="1"/>
        <v>35</v>
      </c>
      <c r="U29" s="4" t="str">
        <f t="shared" si="2"/>
        <v/>
      </c>
      <c r="V29" s="4" t="e">
        <f>IF($V$3=$M$3,M29,U29*(1+'Tenure Split (WALES)'!C$118))</f>
        <v>#VALUE!</v>
      </c>
      <c r="W29" s="4" t="e">
        <f>V29*(1+'Tenure Split (WALES)'!D$118)</f>
        <v>#VALUE!</v>
      </c>
      <c r="X29" s="4" t="e">
        <f>W29*(1+'Tenure Split (WALES)'!E$118)</f>
        <v>#VALUE!</v>
      </c>
      <c r="Y29" s="4" t="e">
        <f>X29*(1+'Tenure Split (WALES)'!F$118)</f>
        <v>#VALUE!</v>
      </c>
      <c r="Z29" s="4" t="e">
        <f>Y29*(1+'Tenure Split (WALES)'!G$118)</f>
        <v>#VALUE!</v>
      </c>
      <c r="AB29" s="1">
        <v>35</v>
      </c>
      <c r="AC29" s="4">
        <f>IF('Tenure Split (WALES)'!$D$18="Land Registry Data",'House Prices (North Wales)'!D29,'House Prices (North Wales)'!V29)</f>
        <v>133692.72608810227</v>
      </c>
      <c r="AD29" s="4">
        <f>IF('Tenure Split (WALES)'!$D$18="Land Registry Data",'House Prices (North Wales)'!E29,'House Prices (North Wales)'!W29)</f>
        <v>133990.40026136092</v>
      </c>
      <c r="AE29" s="4">
        <f>IF('Tenure Split (WALES)'!$D$18="Land Registry Data",'House Prices (North Wales)'!F29,'House Prices (North Wales)'!X29)</f>
        <v>136874.46055675301</v>
      </c>
      <c r="AF29" s="4">
        <f>IF('Tenure Split (WALES)'!$D$18="Land Registry Data",'House Prices (North Wales)'!G29,'House Prices (North Wales)'!Y29)</f>
        <v>142212.45071023537</v>
      </c>
      <c r="AG29" s="4">
        <f>IF('Tenure Split (WALES)'!$D$18="Land Registry Data",'House Prices (North Wales)'!H29,'House Prices (North Wales)'!Z29)</f>
        <v>148111.41234366785</v>
      </c>
    </row>
    <row r="30" spans="2:33" x14ac:dyDescent="0.25">
      <c r="B30" s="20">
        <v>36</v>
      </c>
      <c r="C30" s="58">
        <v>130500</v>
      </c>
      <c r="D30" s="59">
        <f>C30*(1+'Tenure Split (North Wales)'!C$118)</f>
        <v>134206.92888074883</v>
      </c>
      <c r="E30" s="59">
        <f>D30*(1+'Tenure Split (North Wales)'!D$118)</f>
        <v>134505.74795467386</v>
      </c>
      <c r="F30" s="59">
        <f>E30*(1+'Tenure Split (North Wales)'!E$118)</f>
        <v>137400.9007896636</v>
      </c>
      <c r="G30" s="59">
        <f>F30*(1+'Tenure Split (North Wales)'!F$118)</f>
        <v>142759.42167450552</v>
      </c>
      <c r="H30" s="59">
        <f>G30*(1+'Tenure Split (North Wales)'!G$118)</f>
        <v>148681.07162191274</v>
      </c>
      <c r="L30" s="64" t="str">
        <f t="shared" si="0"/>
        <v/>
      </c>
      <c r="M30" s="264"/>
      <c r="N30" s="14">
        <f t="shared" si="3"/>
        <v>1</v>
      </c>
      <c r="T30" s="1">
        <f t="shared" si="1"/>
        <v>36</v>
      </c>
      <c r="U30" s="4" t="str">
        <f t="shared" si="2"/>
        <v/>
      </c>
      <c r="V30" s="4" t="e">
        <f>IF($V$3=$M$3,M30,U30*(1+'Tenure Split (WALES)'!C$118))</f>
        <v>#VALUE!</v>
      </c>
      <c r="W30" s="4" t="e">
        <f>V30*(1+'Tenure Split (WALES)'!D$118)</f>
        <v>#VALUE!</v>
      </c>
      <c r="X30" s="4" t="e">
        <f>W30*(1+'Tenure Split (WALES)'!E$118)</f>
        <v>#VALUE!</v>
      </c>
      <c r="Y30" s="4" t="e">
        <f>X30*(1+'Tenure Split (WALES)'!F$118)</f>
        <v>#VALUE!</v>
      </c>
      <c r="Z30" s="4" t="e">
        <f>Y30*(1+'Tenure Split (WALES)'!G$118)</f>
        <v>#VALUE!</v>
      </c>
      <c r="AB30" s="1">
        <v>36</v>
      </c>
      <c r="AC30" s="4">
        <f>IF('Tenure Split (WALES)'!$D$18="Land Registry Data",'House Prices (North Wales)'!D30,'House Prices (North Wales)'!V30)</f>
        <v>134206.92888074883</v>
      </c>
      <c r="AD30" s="4">
        <f>IF('Tenure Split (WALES)'!$D$18="Land Registry Data",'House Prices (North Wales)'!E30,'House Prices (North Wales)'!W30)</f>
        <v>134505.74795467386</v>
      </c>
      <c r="AE30" s="4">
        <f>IF('Tenure Split (WALES)'!$D$18="Land Registry Data",'House Prices (North Wales)'!F30,'House Prices (North Wales)'!X30)</f>
        <v>137400.9007896636</v>
      </c>
      <c r="AF30" s="4">
        <f>IF('Tenure Split (WALES)'!$D$18="Land Registry Data",'House Prices (North Wales)'!G30,'House Prices (North Wales)'!Y30)</f>
        <v>142759.42167450552</v>
      </c>
      <c r="AG30" s="4">
        <f>IF('Tenure Split (WALES)'!$D$18="Land Registry Data",'House Prices (North Wales)'!H30,'House Prices (North Wales)'!Z30)</f>
        <v>148681.07162191274</v>
      </c>
    </row>
    <row r="31" spans="2:33" x14ac:dyDescent="0.25">
      <c r="B31" s="20">
        <v>37</v>
      </c>
      <c r="C31" s="58">
        <v>133000</v>
      </c>
      <c r="D31" s="59">
        <f>C31*(1+'Tenure Split (North Wales)'!C$118)</f>
        <v>136777.94284398155</v>
      </c>
      <c r="E31" s="59">
        <f>D31*(1+'Tenure Split (North Wales)'!D$118)</f>
        <v>137082.48642123849</v>
      </c>
      <c r="F31" s="59">
        <f>E31*(1+'Tenure Split (North Wales)'!E$118)</f>
        <v>140033.10195421654</v>
      </c>
      <c r="G31" s="59">
        <f>F31*(1+'Tenure Split (North Wales)'!F$118)</f>
        <v>145494.27649585617</v>
      </c>
      <c r="H31" s="59">
        <f>G31*(1+'Tenure Split (North Wales)'!G$118)</f>
        <v>151529.36801313708</v>
      </c>
      <c r="L31" s="64" t="str">
        <f t="shared" si="0"/>
        <v/>
      </c>
      <c r="M31" s="264"/>
      <c r="N31" s="14">
        <f t="shared" si="3"/>
        <v>1</v>
      </c>
      <c r="T31" s="1">
        <f t="shared" si="1"/>
        <v>37</v>
      </c>
      <c r="U31" s="4" t="str">
        <f t="shared" si="2"/>
        <v/>
      </c>
      <c r="V31" s="4" t="e">
        <f>IF($V$3=$M$3,M31,U31*(1+'Tenure Split (WALES)'!C$118))</f>
        <v>#VALUE!</v>
      </c>
      <c r="W31" s="4" t="e">
        <f>V31*(1+'Tenure Split (WALES)'!D$118)</f>
        <v>#VALUE!</v>
      </c>
      <c r="X31" s="4" t="e">
        <f>W31*(1+'Tenure Split (WALES)'!E$118)</f>
        <v>#VALUE!</v>
      </c>
      <c r="Y31" s="4" t="e">
        <f>X31*(1+'Tenure Split (WALES)'!F$118)</f>
        <v>#VALUE!</v>
      </c>
      <c r="Z31" s="4" t="e">
        <f>Y31*(1+'Tenure Split (WALES)'!G$118)</f>
        <v>#VALUE!</v>
      </c>
      <c r="AB31" s="1">
        <v>37</v>
      </c>
      <c r="AC31" s="4">
        <f>IF('Tenure Split (WALES)'!$D$18="Land Registry Data",'House Prices (North Wales)'!D31,'House Prices (North Wales)'!V31)</f>
        <v>136777.94284398155</v>
      </c>
      <c r="AD31" s="4">
        <f>IF('Tenure Split (WALES)'!$D$18="Land Registry Data",'House Prices (North Wales)'!E31,'House Prices (North Wales)'!W31)</f>
        <v>137082.48642123849</v>
      </c>
      <c r="AE31" s="4">
        <f>IF('Tenure Split (WALES)'!$D$18="Land Registry Data",'House Prices (North Wales)'!F31,'House Prices (North Wales)'!X31)</f>
        <v>140033.10195421654</v>
      </c>
      <c r="AF31" s="4">
        <f>IF('Tenure Split (WALES)'!$D$18="Land Registry Data",'House Prices (North Wales)'!G31,'House Prices (North Wales)'!Y31)</f>
        <v>145494.27649585617</v>
      </c>
      <c r="AG31" s="4">
        <f>IF('Tenure Split (WALES)'!$D$18="Land Registry Data",'House Prices (North Wales)'!H31,'House Prices (North Wales)'!Z31)</f>
        <v>151529.36801313708</v>
      </c>
    </row>
    <row r="32" spans="2:33" x14ac:dyDescent="0.25">
      <c r="B32" s="20">
        <v>38</v>
      </c>
      <c r="C32" s="58">
        <v>135000</v>
      </c>
      <c r="D32" s="59">
        <f>C32*(1+'Tenure Split (North Wales)'!C$118)</f>
        <v>138834.75401456776</v>
      </c>
      <c r="E32" s="59">
        <f>D32*(1+'Tenure Split (North Wales)'!D$118)</f>
        <v>139143.87719449023</v>
      </c>
      <c r="F32" s="59">
        <f>E32*(1+'Tenure Split (North Wales)'!E$118)</f>
        <v>142138.86288585892</v>
      </c>
      <c r="G32" s="59">
        <f>F32*(1+'Tenure Split (North Wales)'!F$118)</f>
        <v>147682.16035293674</v>
      </c>
      <c r="H32" s="59">
        <f>G32*(1+'Tenure Split (North Wales)'!G$118)</f>
        <v>153808.00512611662</v>
      </c>
      <c r="L32" s="64" t="str">
        <f t="shared" si="0"/>
        <v/>
      </c>
      <c r="M32" s="264"/>
      <c r="N32" s="14">
        <f t="shared" si="3"/>
        <v>1</v>
      </c>
      <c r="T32" s="1">
        <f t="shared" si="1"/>
        <v>38</v>
      </c>
      <c r="U32" s="4" t="str">
        <f t="shared" si="2"/>
        <v/>
      </c>
      <c r="V32" s="4" t="e">
        <f>IF($V$3=$M$3,M32,U32*(1+'Tenure Split (WALES)'!C$118))</f>
        <v>#VALUE!</v>
      </c>
      <c r="W32" s="4" t="e">
        <f>V32*(1+'Tenure Split (WALES)'!D$118)</f>
        <v>#VALUE!</v>
      </c>
      <c r="X32" s="4" t="e">
        <f>W32*(1+'Tenure Split (WALES)'!E$118)</f>
        <v>#VALUE!</v>
      </c>
      <c r="Y32" s="4" t="e">
        <f>X32*(1+'Tenure Split (WALES)'!F$118)</f>
        <v>#VALUE!</v>
      </c>
      <c r="Z32" s="4" t="e">
        <f>Y32*(1+'Tenure Split (WALES)'!G$118)</f>
        <v>#VALUE!</v>
      </c>
      <c r="AB32" s="1">
        <v>38</v>
      </c>
      <c r="AC32" s="4">
        <f>IF('Tenure Split (WALES)'!$D$18="Land Registry Data",'House Prices (North Wales)'!D32,'House Prices (North Wales)'!V32)</f>
        <v>138834.75401456776</v>
      </c>
      <c r="AD32" s="4">
        <f>IF('Tenure Split (WALES)'!$D$18="Land Registry Data",'House Prices (North Wales)'!E32,'House Prices (North Wales)'!W32)</f>
        <v>139143.87719449023</v>
      </c>
      <c r="AE32" s="4">
        <f>IF('Tenure Split (WALES)'!$D$18="Land Registry Data",'House Prices (North Wales)'!F32,'House Prices (North Wales)'!X32)</f>
        <v>142138.86288585892</v>
      </c>
      <c r="AF32" s="4">
        <f>IF('Tenure Split (WALES)'!$D$18="Land Registry Data",'House Prices (North Wales)'!G32,'House Prices (North Wales)'!Y32)</f>
        <v>147682.16035293674</v>
      </c>
      <c r="AG32" s="4">
        <f>IF('Tenure Split (WALES)'!$D$18="Land Registry Data",'House Prices (North Wales)'!H32,'House Prices (North Wales)'!Z32)</f>
        <v>153808.00512611662</v>
      </c>
    </row>
    <row r="33" spans="2:33" x14ac:dyDescent="0.25">
      <c r="B33" s="20">
        <v>39</v>
      </c>
      <c r="C33" s="58">
        <v>135000</v>
      </c>
      <c r="D33" s="59">
        <f>C33*(1+'Tenure Split (North Wales)'!C$118)</f>
        <v>138834.75401456776</v>
      </c>
      <c r="E33" s="59">
        <f>D33*(1+'Tenure Split (North Wales)'!D$118)</f>
        <v>139143.87719449023</v>
      </c>
      <c r="F33" s="59">
        <f>E33*(1+'Tenure Split (North Wales)'!E$118)</f>
        <v>142138.86288585892</v>
      </c>
      <c r="G33" s="59">
        <f>F33*(1+'Tenure Split (North Wales)'!F$118)</f>
        <v>147682.16035293674</v>
      </c>
      <c r="H33" s="59">
        <f>G33*(1+'Tenure Split (North Wales)'!G$118)</f>
        <v>153808.00512611662</v>
      </c>
      <c r="L33" s="64" t="str">
        <f t="shared" si="0"/>
        <v/>
      </c>
      <c r="M33" s="264"/>
      <c r="N33" s="14">
        <f t="shared" si="3"/>
        <v>1</v>
      </c>
      <c r="T33" s="1">
        <f t="shared" si="1"/>
        <v>39</v>
      </c>
      <c r="U33" s="4" t="str">
        <f t="shared" si="2"/>
        <v/>
      </c>
      <c r="V33" s="4" t="e">
        <f>IF($V$3=$M$3,M33,U33*(1+'Tenure Split (WALES)'!C$118))</f>
        <v>#VALUE!</v>
      </c>
      <c r="W33" s="4" t="e">
        <f>V33*(1+'Tenure Split (WALES)'!D$118)</f>
        <v>#VALUE!</v>
      </c>
      <c r="X33" s="4" t="e">
        <f>W33*(1+'Tenure Split (WALES)'!E$118)</f>
        <v>#VALUE!</v>
      </c>
      <c r="Y33" s="4" t="e">
        <f>X33*(1+'Tenure Split (WALES)'!F$118)</f>
        <v>#VALUE!</v>
      </c>
      <c r="Z33" s="4" t="e">
        <f>Y33*(1+'Tenure Split (WALES)'!G$118)</f>
        <v>#VALUE!</v>
      </c>
      <c r="AB33" s="1">
        <v>39</v>
      </c>
      <c r="AC33" s="4">
        <f>IF('Tenure Split (WALES)'!$D$18="Land Registry Data",'House Prices (North Wales)'!D33,'House Prices (North Wales)'!V33)</f>
        <v>138834.75401456776</v>
      </c>
      <c r="AD33" s="4">
        <f>IF('Tenure Split (WALES)'!$D$18="Land Registry Data",'House Prices (North Wales)'!E33,'House Prices (North Wales)'!W33)</f>
        <v>139143.87719449023</v>
      </c>
      <c r="AE33" s="4">
        <f>IF('Tenure Split (WALES)'!$D$18="Land Registry Data",'House Prices (North Wales)'!F33,'House Prices (North Wales)'!X33)</f>
        <v>142138.86288585892</v>
      </c>
      <c r="AF33" s="4">
        <f>IF('Tenure Split (WALES)'!$D$18="Land Registry Data",'House Prices (North Wales)'!G33,'House Prices (North Wales)'!Y33)</f>
        <v>147682.16035293674</v>
      </c>
      <c r="AG33" s="4">
        <f>IF('Tenure Split (WALES)'!$D$18="Land Registry Data",'House Prices (North Wales)'!H33,'House Prices (North Wales)'!Z33)</f>
        <v>153808.00512611662</v>
      </c>
    </row>
    <row r="34" spans="2:33" x14ac:dyDescent="0.25">
      <c r="B34" s="20">
        <v>40</v>
      </c>
      <c r="C34" s="58">
        <v>137080.00000000012</v>
      </c>
      <c r="D34" s="59">
        <f>C34*(1+'Tenure Split (North Wales)'!C$118)</f>
        <v>140973.83763197751</v>
      </c>
      <c r="E34" s="59">
        <f>D34*(1+'Tenure Split (North Wales)'!D$118)</f>
        <v>141287.72359867211</v>
      </c>
      <c r="F34" s="59">
        <f>E34*(1+'Tenure Split (North Wales)'!E$118)</f>
        <v>144328.85425476709</v>
      </c>
      <c r="G34" s="59">
        <f>F34*(1+'Tenure Split (North Wales)'!F$118)</f>
        <v>149957.55956430064</v>
      </c>
      <c r="H34" s="59">
        <f>G34*(1+'Tenure Split (North Wales)'!G$118)</f>
        <v>156177.78772361545</v>
      </c>
      <c r="L34" s="64" t="str">
        <f t="shared" si="0"/>
        <v/>
      </c>
      <c r="M34" s="264"/>
      <c r="N34" s="14">
        <f t="shared" si="3"/>
        <v>1</v>
      </c>
      <c r="T34" s="1">
        <f t="shared" si="1"/>
        <v>40</v>
      </c>
      <c r="U34" s="4" t="str">
        <f t="shared" si="2"/>
        <v/>
      </c>
      <c r="V34" s="4" t="e">
        <f>IF($V$3=$M$3,M34,U34*(1+'Tenure Split (WALES)'!C$118))</f>
        <v>#VALUE!</v>
      </c>
      <c r="W34" s="4" t="e">
        <f>V34*(1+'Tenure Split (WALES)'!D$118)</f>
        <v>#VALUE!</v>
      </c>
      <c r="X34" s="4" t="e">
        <f>W34*(1+'Tenure Split (WALES)'!E$118)</f>
        <v>#VALUE!</v>
      </c>
      <c r="Y34" s="4" t="e">
        <f>X34*(1+'Tenure Split (WALES)'!F$118)</f>
        <v>#VALUE!</v>
      </c>
      <c r="Z34" s="4" t="e">
        <f>Y34*(1+'Tenure Split (WALES)'!G$118)</f>
        <v>#VALUE!</v>
      </c>
      <c r="AB34" s="1">
        <v>40</v>
      </c>
      <c r="AC34" s="4">
        <f>IF('Tenure Split (WALES)'!$D$18="Land Registry Data",'House Prices (North Wales)'!D34,'House Prices (North Wales)'!V34)</f>
        <v>140973.83763197751</v>
      </c>
      <c r="AD34" s="4">
        <f>IF('Tenure Split (WALES)'!$D$18="Land Registry Data",'House Prices (North Wales)'!E34,'House Prices (North Wales)'!W34)</f>
        <v>141287.72359867211</v>
      </c>
      <c r="AE34" s="4">
        <f>IF('Tenure Split (WALES)'!$D$18="Land Registry Data",'House Prices (North Wales)'!F34,'House Prices (North Wales)'!X34)</f>
        <v>144328.85425476709</v>
      </c>
      <c r="AF34" s="4">
        <f>IF('Tenure Split (WALES)'!$D$18="Land Registry Data",'House Prices (North Wales)'!G34,'House Prices (North Wales)'!Y34)</f>
        <v>149957.55956430064</v>
      </c>
      <c r="AG34" s="4">
        <f>IF('Tenure Split (WALES)'!$D$18="Land Registry Data",'House Prices (North Wales)'!H34,'House Prices (North Wales)'!Z34)</f>
        <v>156177.78772361545</v>
      </c>
    </row>
    <row r="35" spans="2:33" x14ac:dyDescent="0.25">
      <c r="B35" s="20">
        <v>41</v>
      </c>
      <c r="C35" s="58">
        <v>139499.29999999999</v>
      </c>
      <c r="D35" s="59">
        <f>C35*(1+'Tenure Split (North Wales)'!C$118)</f>
        <v>143461.85926447695</v>
      </c>
      <c r="E35" s="59">
        <f>D35*(1+'Tenure Split (North Wales)'!D$118)</f>
        <v>143781.2849475359</v>
      </c>
      <c r="F35" s="59">
        <f>E35*(1+'Tenure Split (North Wales)'!E$118)</f>
        <v>146876.08796572813</v>
      </c>
      <c r="G35" s="59">
        <f>F35*(1+'Tenure Split (North Wales)'!F$118)</f>
        <v>152604.13327201799</v>
      </c>
      <c r="H35" s="59">
        <f>G35*(1+'Tenure Split (North Wales)'!G$118)</f>
        <v>158934.14110733097</v>
      </c>
      <c r="L35" s="64" t="str">
        <f t="shared" si="0"/>
        <v/>
      </c>
      <c r="M35" s="264"/>
      <c r="N35" s="14">
        <f t="shared" si="3"/>
        <v>1</v>
      </c>
      <c r="T35" s="1">
        <f t="shared" si="1"/>
        <v>41</v>
      </c>
      <c r="U35" s="4" t="str">
        <f t="shared" si="2"/>
        <v/>
      </c>
      <c r="V35" s="4" t="e">
        <f>IF($V$3=$M$3,M35,U35*(1+'Tenure Split (WALES)'!C$118))</f>
        <v>#VALUE!</v>
      </c>
      <c r="W35" s="4" t="e">
        <f>V35*(1+'Tenure Split (WALES)'!D$118)</f>
        <v>#VALUE!</v>
      </c>
      <c r="X35" s="4" t="e">
        <f>W35*(1+'Tenure Split (WALES)'!E$118)</f>
        <v>#VALUE!</v>
      </c>
      <c r="Y35" s="4" t="e">
        <f>X35*(1+'Tenure Split (WALES)'!F$118)</f>
        <v>#VALUE!</v>
      </c>
      <c r="Z35" s="4" t="e">
        <f>Y35*(1+'Tenure Split (WALES)'!G$118)</f>
        <v>#VALUE!</v>
      </c>
      <c r="AB35" s="1">
        <v>41</v>
      </c>
      <c r="AC35" s="4">
        <f>IF('Tenure Split (WALES)'!$D$18="Land Registry Data",'House Prices (North Wales)'!D35,'House Prices (North Wales)'!V35)</f>
        <v>143461.85926447695</v>
      </c>
      <c r="AD35" s="4">
        <f>IF('Tenure Split (WALES)'!$D$18="Land Registry Data",'House Prices (North Wales)'!E35,'House Prices (North Wales)'!W35)</f>
        <v>143781.2849475359</v>
      </c>
      <c r="AE35" s="4">
        <f>IF('Tenure Split (WALES)'!$D$18="Land Registry Data",'House Prices (North Wales)'!F35,'House Prices (North Wales)'!X35)</f>
        <v>146876.08796572813</v>
      </c>
      <c r="AF35" s="4">
        <f>IF('Tenure Split (WALES)'!$D$18="Land Registry Data",'House Prices (North Wales)'!G35,'House Prices (North Wales)'!Y35)</f>
        <v>152604.13327201799</v>
      </c>
      <c r="AG35" s="4">
        <f>IF('Tenure Split (WALES)'!$D$18="Land Registry Data",'House Prices (North Wales)'!H35,'House Prices (North Wales)'!Z35)</f>
        <v>158934.14110733097</v>
      </c>
    </row>
    <row r="36" spans="2:33" x14ac:dyDescent="0.25">
      <c r="B36" s="20">
        <v>42</v>
      </c>
      <c r="C36" s="58">
        <v>140000</v>
      </c>
      <c r="D36" s="59">
        <f>C36*(1+'Tenure Split (North Wales)'!C$118)</f>
        <v>143976.78194103323</v>
      </c>
      <c r="E36" s="59">
        <f>D36*(1+'Tenure Split (North Wales)'!D$118)</f>
        <v>144297.35412761947</v>
      </c>
      <c r="F36" s="59">
        <f>E36*(1+'Tenure Split (North Wales)'!E$118)</f>
        <v>147403.26521496481</v>
      </c>
      <c r="G36" s="59">
        <f>F36*(1+'Tenure Split (North Wales)'!F$118)</f>
        <v>153151.86999563812</v>
      </c>
      <c r="H36" s="59">
        <f>G36*(1+'Tenure Split (North Wales)'!G$118)</f>
        <v>159504.5979085654</v>
      </c>
      <c r="L36" s="64" t="str">
        <f t="shared" si="0"/>
        <v/>
      </c>
      <c r="M36" s="264"/>
      <c r="N36" s="14">
        <f t="shared" si="3"/>
        <v>1</v>
      </c>
      <c r="T36" s="1">
        <f t="shared" si="1"/>
        <v>42</v>
      </c>
      <c r="U36" s="4" t="str">
        <f t="shared" si="2"/>
        <v/>
      </c>
      <c r="V36" s="4" t="e">
        <f>IF($V$3=$M$3,M36,U36*(1+'Tenure Split (WALES)'!C$118))</f>
        <v>#VALUE!</v>
      </c>
      <c r="W36" s="4" t="e">
        <f>V36*(1+'Tenure Split (WALES)'!D$118)</f>
        <v>#VALUE!</v>
      </c>
      <c r="X36" s="4" t="e">
        <f>W36*(1+'Tenure Split (WALES)'!E$118)</f>
        <v>#VALUE!</v>
      </c>
      <c r="Y36" s="4" t="e">
        <f>X36*(1+'Tenure Split (WALES)'!F$118)</f>
        <v>#VALUE!</v>
      </c>
      <c r="Z36" s="4" t="e">
        <f>Y36*(1+'Tenure Split (WALES)'!G$118)</f>
        <v>#VALUE!</v>
      </c>
      <c r="AB36" s="1">
        <v>42</v>
      </c>
      <c r="AC36" s="4">
        <f>IF('Tenure Split (WALES)'!$D$18="Land Registry Data",'House Prices (North Wales)'!D36,'House Prices (North Wales)'!V36)</f>
        <v>143976.78194103323</v>
      </c>
      <c r="AD36" s="4">
        <f>IF('Tenure Split (WALES)'!$D$18="Land Registry Data",'House Prices (North Wales)'!E36,'House Prices (North Wales)'!W36)</f>
        <v>144297.35412761947</v>
      </c>
      <c r="AE36" s="4">
        <f>IF('Tenure Split (WALES)'!$D$18="Land Registry Data",'House Prices (North Wales)'!F36,'House Prices (North Wales)'!X36)</f>
        <v>147403.26521496481</v>
      </c>
      <c r="AF36" s="4">
        <f>IF('Tenure Split (WALES)'!$D$18="Land Registry Data",'House Prices (North Wales)'!G36,'House Prices (North Wales)'!Y36)</f>
        <v>153151.86999563812</v>
      </c>
      <c r="AG36" s="4">
        <f>IF('Tenure Split (WALES)'!$D$18="Land Registry Data",'House Prices (North Wales)'!H36,'House Prices (North Wales)'!Z36)</f>
        <v>159504.5979085654</v>
      </c>
    </row>
    <row r="37" spans="2:33" x14ac:dyDescent="0.25">
      <c r="B37" s="20">
        <v>43</v>
      </c>
      <c r="C37" s="58">
        <v>142000</v>
      </c>
      <c r="D37" s="59">
        <f>C37*(1+'Tenure Split (North Wales)'!C$118)</f>
        <v>146033.59311161941</v>
      </c>
      <c r="E37" s="59">
        <f>D37*(1+'Tenure Split (North Wales)'!D$118)</f>
        <v>146358.74490087118</v>
      </c>
      <c r="F37" s="59">
        <f>E37*(1+'Tenure Split (North Wales)'!E$118)</f>
        <v>149509.02614660715</v>
      </c>
      <c r="G37" s="59">
        <f>F37*(1+'Tenure Split (North Wales)'!F$118)</f>
        <v>155339.75385271866</v>
      </c>
      <c r="H37" s="59">
        <f>G37*(1+'Tenure Split (North Wales)'!G$118)</f>
        <v>161783.23502154491</v>
      </c>
      <c r="L37" s="64" t="str">
        <f t="shared" si="0"/>
        <v/>
      </c>
      <c r="M37" s="264"/>
      <c r="N37" s="14">
        <f t="shared" si="3"/>
        <v>1</v>
      </c>
      <c r="T37" s="1">
        <f t="shared" si="1"/>
        <v>43</v>
      </c>
      <c r="U37" s="4" t="str">
        <f t="shared" si="2"/>
        <v/>
      </c>
      <c r="V37" s="4" t="e">
        <f>IF($V$3=$M$3,M37,U37*(1+'Tenure Split (WALES)'!C$118))</f>
        <v>#VALUE!</v>
      </c>
      <c r="W37" s="4" t="e">
        <f>V37*(1+'Tenure Split (WALES)'!D$118)</f>
        <v>#VALUE!</v>
      </c>
      <c r="X37" s="4" t="e">
        <f>W37*(1+'Tenure Split (WALES)'!E$118)</f>
        <v>#VALUE!</v>
      </c>
      <c r="Y37" s="4" t="e">
        <f>X37*(1+'Tenure Split (WALES)'!F$118)</f>
        <v>#VALUE!</v>
      </c>
      <c r="Z37" s="4" t="e">
        <f>Y37*(1+'Tenure Split (WALES)'!G$118)</f>
        <v>#VALUE!</v>
      </c>
      <c r="AB37" s="1">
        <v>43</v>
      </c>
      <c r="AC37" s="4">
        <f>IF('Tenure Split (WALES)'!$D$18="Land Registry Data",'House Prices (North Wales)'!D37,'House Prices (North Wales)'!V37)</f>
        <v>146033.59311161941</v>
      </c>
      <c r="AD37" s="4">
        <f>IF('Tenure Split (WALES)'!$D$18="Land Registry Data",'House Prices (North Wales)'!E37,'House Prices (North Wales)'!W37)</f>
        <v>146358.74490087118</v>
      </c>
      <c r="AE37" s="4">
        <f>IF('Tenure Split (WALES)'!$D$18="Land Registry Data",'House Prices (North Wales)'!F37,'House Prices (North Wales)'!X37)</f>
        <v>149509.02614660715</v>
      </c>
      <c r="AF37" s="4">
        <f>IF('Tenure Split (WALES)'!$D$18="Land Registry Data",'House Prices (North Wales)'!G37,'House Prices (North Wales)'!Y37)</f>
        <v>155339.75385271866</v>
      </c>
      <c r="AG37" s="4">
        <f>IF('Tenure Split (WALES)'!$D$18="Land Registry Data",'House Prices (North Wales)'!H37,'House Prices (North Wales)'!Z37)</f>
        <v>161783.23502154491</v>
      </c>
    </row>
    <row r="38" spans="2:33" x14ac:dyDescent="0.25">
      <c r="B38" s="20">
        <v>44</v>
      </c>
      <c r="C38" s="58">
        <v>143950</v>
      </c>
      <c r="D38" s="59">
        <f>C38*(1+'Tenure Split (North Wales)'!C$118)</f>
        <v>148038.98400294094</v>
      </c>
      <c r="E38" s="59">
        <f>D38*(1+'Tenure Split (North Wales)'!D$118)</f>
        <v>148368.60090479159</v>
      </c>
      <c r="F38" s="59">
        <f>E38*(1+'Tenure Split (North Wales)'!E$118)</f>
        <v>151562.14305495843</v>
      </c>
      <c r="G38" s="59">
        <f>F38*(1+'Tenure Split (North Wales)'!F$118)</f>
        <v>157472.94061337216</v>
      </c>
      <c r="H38" s="59">
        <f>G38*(1+'Tenure Split (North Wales)'!G$118)</f>
        <v>164004.9062066999</v>
      </c>
      <c r="L38" s="64" t="str">
        <f t="shared" si="0"/>
        <v/>
      </c>
      <c r="M38" s="264"/>
      <c r="N38" s="14">
        <f t="shared" si="3"/>
        <v>1</v>
      </c>
      <c r="T38" s="1">
        <f t="shared" si="1"/>
        <v>44</v>
      </c>
      <c r="U38" s="4" t="str">
        <f t="shared" si="2"/>
        <v/>
      </c>
      <c r="V38" s="4" t="e">
        <f>IF($V$3=$M$3,M38,U38*(1+'Tenure Split (WALES)'!C$118))</f>
        <v>#VALUE!</v>
      </c>
      <c r="W38" s="4" t="e">
        <f>V38*(1+'Tenure Split (WALES)'!D$118)</f>
        <v>#VALUE!</v>
      </c>
      <c r="X38" s="4" t="e">
        <f>W38*(1+'Tenure Split (WALES)'!E$118)</f>
        <v>#VALUE!</v>
      </c>
      <c r="Y38" s="4" t="e">
        <f>X38*(1+'Tenure Split (WALES)'!F$118)</f>
        <v>#VALUE!</v>
      </c>
      <c r="Z38" s="4" t="e">
        <f>Y38*(1+'Tenure Split (WALES)'!G$118)</f>
        <v>#VALUE!</v>
      </c>
      <c r="AB38" s="1">
        <v>44</v>
      </c>
      <c r="AC38" s="4">
        <f>IF('Tenure Split (WALES)'!$D$18="Land Registry Data",'House Prices (North Wales)'!D38,'House Prices (North Wales)'!V38)</f>
        <v>148038.98400294094</v>
      </c>
      <c r="AD38" s="4">
        <f>IF('Tenure Split (WALES)'!$D$18="Land Registry Data",'House Prices (North Wales)'!E38,'House Prices (North Wales)'!W38)</f>
        <v>148368.60090479159</v>
      </c>
      <c r="AE38" s="4">
        <f>IF('Tenure Split (WALES)'!$D$18="Land Registry Data",'House Prices (North Wales)'!F38,'House Prices (North Wales)'!X38)</f>
        <v>151562.14305495843</v>
      </c>
      <c r="AF38" s="4">
        <f>IF('Tenure Split (WALES)'!$D$18="Land Registry Data",'House Prices (North Wales)'!G38,'House Prices (North Wales)'!Y38)</f>
        <v>157472.94061337216</v>
      </c>
      <c r="AG38" s="4">
        <f>IF('Tenure Split (WALES)'!$D$18="Land Registry Data",'House Prices (North Wales)'!H38,'House Prices (North Wales)'!Z38)</f>
        <v>164004.9062066999</v>
      </c>
    </row>
    <row r="39" spans="2:33" x14ac:dyDescent="0.25">
      <c r="B39" s="20">
        <v>45</v>
      </c>
      <c r="C39" s="58">
        <v>145000</v>
      </c>
      <c r="D39" s="59">
        <f>C39*(1+'Tenure Split (North Wales)'!C$118)</f>
        <v>149118.8098674987</v>
      </c>
      <c r="E39" s="59">
        <f>D39*(1+'Tenure Split (North Wales)'!D$118)</f>
        <v>149450.83106074875</v>
      </c>
      <c r="F39" s="59">
        <f>E39*(1+'Tenure Split (North Wales)'!E$118)</f>
        <v>152667.66754407069</v>
      </c>
      <c r="G39" s="59">
        <f>F39*(1+'Tenure Split (North Wales)'!F$118)</f>
        <v>158621.57963833946</v>
      </c>
      <c r="H39" s="59">
        <f>G39*(1+'Tenure Split (North Wales)'!G$118)</f>
        <v>165201.19069101414</v>
      </c>
      <c r="L39" s="64" t="str">
        <f t="shared" si="0"/>
        <v/>
      </c>
      <c r="M39" s="264"/>
      <c r="N39" s="14">
        <f t="shared" si="3"/>
        <v>1</v>
      </c>
      <c r="T39" s="1">
        <f t="shared" si="1"/>
        <v>45</v>
      </c>
      <c r="U39" s="4" t="str">
        <f t="shared" si="2"/>
        <v/>
      </c>
      <c r="V39" s="4" t="e">
        <f>IF($V$3=$M$3,M39,U39*(1+'Tenure Split (WALES)'!C$118))</f>
        <v>#VALUE!</v>
      </c>
      <c r="W39" s="4" t="e">
        <f>V39*(1+'Tenure Split (WALES)'!D$118)</f>
        <v>#VALUE!</v>
      </c>
      <c r="X39" s="4" t="e">
        <f>W39*(1+'Tenure Split (WALES)'!E$118)</f>
        <v>#VALUE!</v>
      </c>
      <c r="Y39" s="4" t="e">
        <f>X39*(1+'Tenure Split (WALES)'!F$118)</f>
        <v>#VALUE!</v>
      </c>
      <c r="Z39" s="4" t="e">
        <f>Y39*(1+'Tenure Split (WALES)'!G$118)</f>
        <v>#VALUE!</v>
      </c>
      <c r="AB39" s="1">
        <v>45</v>
      </c>
      <c r="AC39" s="4">
        <f>IF('Tenure Split (WALES)'!$D$18="Land Registry Data",'House Prices (North Wales)'!D39,'House Prices (North Wales)'!V39)</f>
        <v>149118.8098674987</v>
      </c>
      <c r="AD39" s="4">
        <f>IF('Tenure Split (WALES)'!$D$18="Land Registry Data",'House Prices (North Wales)'!E39,'House Prices (North Wales)'!W39)</f>
        <v>149450.83106074875</v>
      </c>
      <c r="AE39" s="4">
        <f>IF('Tenure Split (WALES)'!$D$18="Land Registry Data",'House Prices (North Wales)'!F39,'House Prices (North Wales)'!X39)</f>
        <v>152667.66754407069</v>
      </c>
      <c r="AF39" s="4">
        <f>IF('Tenure Split (WALES)'!$D$18="Land Registry Data",'House Prices (North Wales)'!G39,'House Prices (North Wales)'!Y39)</f>
        <v>158621.57963833946</v>
      </c>
      <c r="AG39" s="4">
        <f>IF('Tenure Split (WALES)'!$D$18="Land Registry Data",'House Prices (North Wales)'!H39,'House Prices (North Wales)'!Z39)</f>
        <v>165201.19069101414</v>
      </c>
    </row>
    <row r="40" spans="2:33" x14ac:dyDescent="0.25">
      <c r="B40" s="20">
        <v>46</v>
      </c>
      <c r="C40" s="58">
        <v>146500</v>
      </c>
      <c r="D40" s="59">
        <f>C40*(1+'Tenure Split (North Wales)'!C$118)</f>
        <v>150661.41824543834</v>
      </c>
      <c r="E40" s="59">
        <f>D40*(1+'Tenure Split (North Wales)'!D$118)</f>
        <v>150996.87414068752</v>
      </c>
      <c r="F40" s="59">
        <f>E40*(1+'Tenure Split (North Wales)'!E$118)</f>
        <v>154246.98824280244</v>
      </c>
      <c r="G40" s="59">
        <f>F40*(1+'Tenure Split (North Wales)'!F$118)</f>
        <v>160262.49253114988</v>
      </c>
      <c r="H40" s="59">
        <f>G40*(1+'Tenure Split (North Wales)'!G$118)</f>
        <v>166910.1685257488</v>
      </c>
      <c r="L40" s="64" t="str">
        <f t="shared" si="0"/>
        <v/>
      </c>
      <c r="M40" s="264"/>
      <c r="N40" s="14">
        <f t="shared" si="3"/>
        <v>1</v>
      </c>
      <c r="T40" s="1">
        <f t="shared" si="1"/>
        <v>46</v>
      </c>
      <c r="U40" s="4" t="str">
        <f t="shared" si="2"/>
        <v/>
      </c>
      <c r="V40" s="4" t="e">
        <f>IF($V$3=$M$3,M40,U40*(1+'Tenure Split (WALES)'!C$118))</f>
        <v>#VALUE!</v>
      </c>
      <c r="W40" s="4" t="e">
        <f>V40*(1+'Tenure Split (WALES)'!D$118)</f>
        <v>#VALUE!</v>
      </c>
      <c r="X40" s="4" t="e">
        <f>W40*(1+'Tenure Split (WALES)'!E$118)</f>
        <v>#VALUE!</v>
      </c>
      <c r="Y40" s="4" t="e">
        <f>X40*(1+'Tenure Split (WALES)'!F$118)</f>
        <v>#VALUE!</v>
      </c>
      <c r="Z40" s="4" t="e">
        <f>Y40*(1+'Tenure Split (WALES)'!G$118)</f>
        <v>#VALUE!</v>
      </c>
      <c r="AB40" s="1">
        <v>46</v>
      </c>
      <c r="AC40" s="4">
        <f>IF('Tenure Split (WALES)'!$D$18="Land Registry Data",'House Prices (North Wales)'!D40,'House Prices (North Wales)'!V40)</f>
        <v>150661.41824543834</v>
      </c>
      <c r="AD40" s="4">
        <f>IF('Tenure Split (WALES)'!$D$18="Land Registry Data",'House Prices (North Wales)'!E40,'House Prices (North Wales)'!W40)</f>
        <v>150996.87414068752</v>
      </c>
      <c r="AE40" s="4">
        <f>IF('Tenure Split (WALES)'!$D$18="Land Registry Data",'House Prices (North Wales)'!F40,'House Prices (North Wales)'!X40)</f>
        <v>154246.98824280244</v>
      </c>
      <c r="AF40" s="4">
        <f>IF('Tenure Split (WALES)'!$D$18="Land Registry Data",'House Prices (North Wales)'!G40,'House Prices (North Wales)'!Y40)</f>
        <v>160262.49253114988</v>
      </c>
      <c r="AG40" s="4">
        <f>IF('Tenure Split (WALES)'!$D$18="Land Registry Data",'House Prices (North Wales)'!H40,'House Prices (North Wales)'!Z40)</f>
        <v>166910.1685257488</v>
      </c>
    </row>
    <row r="41" spans="2:33" x14ac:dyDescent="0.25">
      <c r="B41" s="20">
        <v>47</v>
      </c>
      <c r="C41" s="58">
        <v>149000</v>
      </c>
      <c r="D41" s="59">
        <f>C41*(1+'Tenure Split (North Wales)'!C$118)</f>
        <v>153232.43220867106</v>
      </c>
      <c r="E41" s="59">
        <f>D41*(1+'Tenure Split (North Wales)'!D$118)</f>
        <v>153573.61260725214</v>
      </c>
      <c r="F41" s="59">
        <f>E41*(1+'Tenure Split (North Wales)'!E$118)</f>
        <v>156879.18940735538</v>
      </c>
      <c r="G41" s="59">
        <f>F41*(1+'Tenure Split (North Wales)'!F$118)</f>
        <v>162997.34735250054</v>
      </c>
      <c r="H41" s="59">
        <f>G41*(1+'Tenure Split (North Wales)'!G$118)</f>
        <v>169758.46491697314</v>
      </c>
      <c r="L41" s="64" t="str">
        <f t="shared" si="0"/>
        <v/>
      </c>
      <c r="M41" s="264"/>
      <c r="N41" s="14">
        <f t="shared" si="3"/>
        <v>1</v>
      </c>
      <c r="T41" s="1">
        <f t="shared" si="1"/>
        <v>47</v>
      </c>
      <c r="U41" s="4" t="str">
        <f t="shared" si="2"/>
        <v/>
      </c>
      <c r="V41" s="4" t="e">
        <f>IF($V$3=$M$3,M41,U41*(1+'Tenure Split (WALES)'!C$118))</f>
        <v>#VALUE!</v>
      </c>
      <c r="W41" s="4" t="e">
        <f>V41*(1+'Tenure Split (WALES)'!D$118)</f>
        <v>#VALUE!</v>
      </c>
      <c r="X41" s="4" t="e">
        <f>W41*(1+'Tenure Split (WALES)'!E$118)</f>
        <v>#VALUE!</v>
      </c>
      <c r="Y41" s="4" t="e">
        <f>X41*(1+'Tenure Split (WALES)'!F$118)</f>
        <v>#VALUE!</v>
      </c>
      <c r="Z41" s="4" t="e">
        <f>Y41*(1+'Tenure Split (WALES)'!G$118)</f>
        <v>#VALUE!</v>
      </c>
      <c r="AB41" s="1">
        <v>47</v>
      </c>
      <c r="AC41" s="4">
        <f>IF('Tenure Split (WALES)'!$D$18="Land Registry Data",'House Prices (North Wales)'!D41,'House Prices (North Wales)'!V41)</f>
        <v>153232.43220867106</v>
      </c>
      <c r="AD41" s="4">
        <f>IF('Tenure Split (WALES)'!$D$18="Land Registry Data",'House Prices (North Wales)'!E41,'House Prices (North Wales)'!W41)</f>
        <v>153573.61260725214</v>
      </c>
      <c r="AE41" s="4">
        <f>IF('Tenure Split (WALES)'!$D$18="Land Registry Data",'House Prices (North Wales)'!F41,'House Prices (North Wales)'!X41)</f>
        <v>156879.18940735538</v>
      </c>
      <c r="AF41" s="4">
        <f>IF('Tenure Split (WALES)'!$D$18="Land Registry Data",'House Prices (North Wales)'!G41,'House Prices (North Wales)'!Y41)</f>
        <v>162997.34735250054</v>
      </c>
      <c r="AG41" s="4">
        <f>IF('Tenure Split (WALES)'!$D$18="Land Registry Data",'House Prices (North Wales)'!H41,'House Prices (North Wales)'!Z41)</f>
        <v>169758.46491697314</v>
      </c>
    </row>
    <row r="42" spans="2:33" x14ac:dyDescent="0.25">
      <c r="B42" s="20">
        <v>48</v>
      </c>
      <c r="C42" s="58">
        <v>150000</v>
      </c>
      <c r="D42" s="59">
        <f>C42*(1+'Tenure Split (North Wales)'!C$118)</f>
        <v>154260.83779396417</v>
      </c>
      <c r="E42" s="59">
        <f>D42*(1+'Tenure Split (North Wales)'!D$118)</f>
        <v>154604.307993878</v>
      </c>
      <c r="F42" s="59">
        <f>E42*(1+'Tenure Split (North Wales)'!E$118)</f>
        <v>157932.06987317657</v>
      </c>
      <c r="G42" s="59">
        <f>F42*(1+'Tenure Split (North Wales)'!F$118)</f>
        <v>164091.28928104084</v>
      </c>
      <c r="H42" s="59">
        <f>G42*(1+'Tenure Split (North Wales)'!G$118)</f>
        <v>170897.78347346291</v>
      </c>
      <c r="L42" s="64" t="str">
        <f t="shared" si="0"/>
        <v/>
      </c>
      <c r="M42" s="264"/>
      <c r="N42" s="14">
        <f t="shared" si="3"/>
        <v>1</v>
      </c>
      <c r="T42" s="1">
        <f t="shared" si="1"/>
        <v>48</v>
      </c>
      <c r="U42" s="4" t="str">
        <f t="shared" si="2"/>
        <v/>
      </c>
      <c r="V42" s="4" t="e">
        <f>IF($V$3=$M$3,M42,U42*(1+'Tenure Split (WALES)'!C$118))</f>
        <v>#VALUE!</v>
      </c>
      <c r="W42" s="4" t="e">
        <f>V42*(1+'Tenure Split (WALES)'!D$118)</f>
        <v>#VALUE!</v>
      </c>
      <c r="X42" s="4" t="e">
        <f>W42*(1+'Tenure Split (WALES)'!E$118)</f>
        <v>#VALUE!</v>
      </c>
      <c r="Y42" s="4" t="e">
        <f>X42*(1+'Tenure Split (WALES)'!F$118)</f>
        <v>#VALUE!</v>
      </c>
      <c r="Z42" s="4" t="e">
        <f>Y42*(1+'Tenure Split (WALES)'!G$118)</f>
        <v>#VALUE!</v>
      </c>
      <c r="AB42" s="1">
        <v>48</v>
      </c>
      <c r="AC42" s="4">
        <f>IF('Tenure Split (WALES)'!$D$18="Land Registry Data",'House Prices (North Wales)'!D42,'House Prices (North Wales)'!V42)</f>
        <v>154260.83779396417</v>
      </c>
      <c r="AD42" s="4">
        <f>IF('Tenure Split (WALES)'!$D$18="Land Registry Data",'House Prices (North Wales)'!E42,'House Prices (North Wales)'!W42)</f>
        <v>154604.307993878</v>
      </c>
      <c r="AE42" s="4">
        <f>IF('Tenure Split (WALES)'!$D$18="Land Registry Data",'House Prices (North Wales)'!F42,'House Prices (North Wales)'!X42)</f>
        <v>157932.06987317657</v>
      </c>
      <c r="AF42" s="4">
        <f>IF('Tenure Split (WALES)'!$D$18="Land Registry Data",'House Prices (North Wales)'!G42,'House Prices (North Wales)'!Y42)</f>
        <v>164091.28928104084</v>
      </c>
      <c r="AG42" s="4">
        <f>IF('Tenure Split (WALES)'!$D$18="Land Registry Data",'House Prices (North Wales)'!H42,'House Prices (North Wales)'!Z42)</f>
        <v>170897.78347346291</v>
      </c>
    </row>
    <row r="43" spans="2:33" x14ac:dyDescent="0.25">
      <c r="B43" s="20">
        <v>49</v>
      </c>
      <c r="C43" s="58">
        <v>151158</v>
      </c>
      <c r="D43" s="59">
        <f>C43*(1+'Tenure Split (North Wales)'!C$118)</f>
        <v>155451.73146173358</v>
      </c>
      <c r="E43" s="59">
        <f>D43*(1+'Tenure Split (North Wales)'!D$118)</f>
        <v>155797.85325159074</v>
      </c>
      <c r="F43" s="59">
        <f>E43*(1+'Tenure Split (North Wales)'!E$118)</f>
        <v>159151.3054525975</v>
      </c>
      <c r="G43" s="59">
        <f>F43*(1+'Tenure Split (North Wales)'!F$118)</f>
        <v>165358.07403429048</v>
      </c>
      <c r="H43" s="59">
        <f>G43*(1+'Tenure Split (North Wales)'!G$118)</f>
        <v>172217.11436187805</v>
      </c>
      <c r="L43" s="64" t="str">
        <f t="shared" si="0"/>
        <v/>
      </c>
      <c r="M43" s="264"/>
      <c r="N43" s="14">
        <f t="shared" si="3"/>
        <v>1</v>
      </c>
      <c r="T43" s="1">
        <f t="shared" si="1"/>
        <v>49</v>
      </c>
      <c r="U43" s="4" t="str">
        <f t="shared" si="2"/>
        <v/>
      </c>
      <c r="V43" s="4" t="e">
        <f>IF($V$3=$M$3,M43,U43*(1+'Tenure Split (WALES)'!C$118))</f>
        <v>#VALUE!</v>
      </c>
      <c r="W43" s="4" t="e">
        <f>V43*(1+'Tenure Split (WALES)'!D$118)</f>
        <v>#VALUE!</v>
      </c>
      <c r="X43" s="4" t="e">
        <f>W43*(1+'Tenure Split (WALES)'!E$118)</f>
        <v>#VALUE!</v>
      </c>
      <c r="Y43" s="4" t="e">
        <f>X43*(1+'Tenure Split (WALES)'!F$118)</f>
        <v>#VALUE!</v>
      </c>
      <c r="Z43" s="4" t="e">
        <f>Y43*(1+'Tenure Split (WALES)'!G$118)</f>
        <v>#VALUE!</v>
      </c>
      <c r="AB43" s="1">
        <v>49</v>
      </c>
      <c r="AC43" s="4">
        <f>IF('Tenure Split (WALES)'!$D$18="Land Registry Data",'House Prices (North Wales)'!D43,'House Prices (North Wales)'!V43)</f>
        <v>155451.73146173358</v>
      </c>
      <c r="AD43" s="4">
        <f>IF('Tenure Split (WALES)'!$D$18="Land Registry Data",'House Prices (North Wales)'!E43,'House Prices (North Wales)'!W43)</f>
        <v>155797.85325159074</v>
      </c>
      <c r="AE43" s="4">
        <f>IF('Tenure Split (WALES)'!$D$18="Land Registry Data",'House Prices (North Wales)'!F43,'House Prices (North Wales)'!X43)</f>
        <v>159151.3054525975</v>
      </c>
      <c r="AF43" s="4">
        <f>IF('Tenure Split (WALES)'!$D$18="Land Registry Data",'House Prices (North Wales)'!G43,'House Prices (North Wales)'!Y43)</f>
        <v>165358.07403429048</v>
      </c>
      <c r="AG43" s="4">
        <f>IF('Tenure Split (WALES)'!$D$18="Land Registry Data",'House Prices (North Wales)'!H43,'House Prices (North Wales)'!Z43)</f>
        <v>172217.11436187805</v>
      </c>
    </row>
    <row r="44" spans="2:33" x14ac:dyDescent="0.25">
      <c r="B44" s="20">
        <v>50</v>
      </c>
      <c r="C44" s="58">
        <v>153000</v>
      </c>
      <c r="D44" s="59">
        <f>C44*(1+'Tenure Split (North Wales)'!C$118)</f>
        <v>157346.05454984345</v>
      </c>
      <c r="E44" s="59">
        <f>D44*(1+'Tenure Split (North Wales)'!D$118)</f>
        <v>157696.39415375557</v>
      </c>
      <c r="F44" s="59">
        <f>E44*(1+'Tenure Split (North Wales)'!E$118)</f>
        <v>161090.71127064011</v>
      </c>
      <c r="G44" s="59">
        <f>F44*(1+'Tenure Split (North Wales)'!F$118)</f>
        <v>167373.11506666164</v>
      </c>
      <c r="H44" s="59">
        <f>G44*(1+'Tenure Split (North Wales)'!G$118)</f>
        <v>174315.73914293217</v>
      </c>
      <c r="L44" s="64" t="str">
        <f t="shared" si="0"/>
        <v/>
      </c>
      <c r="M44" s="264"/>
      <c r="N44" s="14">
        <f t="shared" si="3"/>
        <v>1</v>
      </c>
      <c r="T44" s="1">
        <f t="shared" si="1"/>
        <v>50</v>
      </c>
      <c r="U44" s="4" t="str">
        <f t="shared" si="2"/>
        <v/>
      </c>
      <c r="V44" s="4" t="e">
        <f>IF($V$3=$M$3,M44,U44*(1+'Tenure Split (WALES)'!C$118))</f>
        <v>#VALUE!</v>
      </c>
      <c r="W44" s="4" t="e">
        <f>V44*(1+'Tenure Split (WALES)'!D$118)</f>
        <v>#VALUE!</v>
      </c>
      <c r="X44" s="4" t="e">
        <f>W44*(1+'Tenure Split (WALES)'!E$118)</f>
        <v>#VALUE!</v>
      </c>
      <c r="Y44" s="4" t="e">
        <f>X44*(1+'Tenure Split (WALES)'!F$118)</f>
        <v>#VALUE!</v>
      </c>
      <c r="Z44" s="4" t="e">
        <f>Y44*(1+'Tenure Split (WALES)'!G$118)</f>
        <v>#VALUE!</v>
      </c>
      <c r="AB44" s="1">
        <v>50</v>
      </c>
      <c r="AC44" s="4">
        <f>IF('Tenure Split (WALES)'!$D$18="Land Registry Data",'House Prices (North Wales)'!D44,'House Prices (North Wales)'!V44)</f>
        <v>157346.05454984345</v>
      </c>
      <c r="AD44" s="4">
        <f>IF('Tenure Split (WALES)'!$D$18="Land Registry Data",'House Prices (North Wales)'!E44,'House Prices (North Wales)'!W44)</f>
        <v>157696.39415375557</v>
      </c>
      <c r="AE44" s="4">
        <f>IF('Tenure Split (WALES)'!$D$18="Land Registry Data",'House Prices (North Wales)'!F44,'House Prices (North Wales)'!X44)</f>
        <v>161090.71127064011</v>
      </c>
      <c r="AF44" s="4">
        <f>IF('Tenure Split (WALES)'!$D$18="Land Registry Data",'House Prices (North Wales)'!G44,'House Prices (North Wales)'!Y44)</f>
        <v>167373.11506666164</v>
      </c>
      <c r="AG44" s="4">
        <f>IF('Tenure Split (WALES)'!$D$18="Land Registry Data",'House Prices (North Wales)'!H44,'House Prices (North Wales)'!Z44)</f>
        <v>174315.73914293217</v>
      </c>
    </row>
    <row r="45" spans="2:33" x14ac:dyDescent="0.25">
      <c r="B45" s="20">
        <v>51</v>
      </c>
      <c r="C45" s="58">
        <v>155000</v>
      </c>
      <c r="D45" s="59">
        <f>C45*(1+'Tenure Split (North Wales)'!C$118)</f>
        <v>159402.86572042963</v>
      </c>
      <c r="E45" s="59">
        <f>D45*(1+'Tenure Split (North Wales)'!D$118)</f>
        <v>159757.78492700728</v>
      </c>
      <c r="F45" s="59">
        <f>E45*(1+'Tenure Split (North Wales)'!E$118)</f>
        <v>163196.47220228246</v>
      </c>
      <c r="G45" s="59">
        <f>F45*(1+'Tenure Split (North Wales)'!F$118)</f>
        <v>169560.99892374218</v>
      </c>
      <c r="H45" s="59">
        <f>G45*(1+'Tenure Split (North Wales)'!G$118)</f>
        <v>176594.37625591166</v>
      </c>
      <c r="L45" s="64" t="str">
        <f t="shared" si="0"/>
        <v/>
      </c>
      <c r="M45" s="264"/>
      <c r="N45" s="14">
        <f t="shared" si="3"/>
        <v>1</v>
      </c>
      <c r="T45" s="1">
        <f t="shared" si="1"/>
        <v>51</v>
      </c>
      <c r="U45" s="4" t="str">
        <f t="shared" si="2"/>
        <v/>
      </c>
      <c r="V45" s="4" t="e">
        <f>IF($V$3=$M$3,M45,U45*(1+'Tenure Split (WALES)'!C$118))</f>
        <v>#VALUE!</v>
      </c>
      <c r="W45" s="4" t="e">
        <f>V45*(1+'Tenure Split (WALES)'!D$118)</f>
        <v>#VALUE!</v>
      </c>
      <c r="X45" s="4" t="e">
        <f>W45*(1+'Tenure Split (WALES)'!E$118)</f>
        <v>#VALUE!</v>
      </c>
      <c r="Y45" s="4" t="e">
        <f>X45*(1+'Tenure Split (WALES)'!F$118)</f>
        <v>#VALUE!</v>
      </c>
      <c r="Z45" s="4" t="e">
        <f>Y45*(1+'Tenure Split (WALES)'!G$118)</f>
        <v>#VALUE!</v>
      </c>
      <c r="AB45" s="1">
        <v>51</v>
      </c>
      <c r="AC45" s="4">
        <f>IF('Tenure Split (WALES)'!$D$18="Land Registry Data",'House Prices (North Wales)'!D45,'House Prices (North Wales)'!V45)</f>
        <v>159402.86572042963</v>
      </c>
      <c r="AD45" s="4">
        <f>IF('Tenure Split (WALES)'!$D$18="Land Registry Data",'House Prices (North Wales)'!E45,'House Prices (North Wales)'!W45)</f>
        <v>159757.78492700728</v>
      </c>
      <c r="AE45" s="4">
        <f>IF('Tenure Split (WALES)'!$D$18="Land Registry Data",'House Prices (North Wales)'!F45,'House Prices (North Wales)'!X45)</f>
        <v>163196.47220228246</v>
      </c>
      <c r="AF45" s="4">
        <f>IF('Tenure Split (WALES)'!$D$18="Land Registry Data",'House Prices (North Wales)'!G45,'House Prices (North Wales)'!Y45)</f>
        <v>169560.99892374218</v>
      </c>
      <c r="AG45" s="4">
        <f>IF('Tenure Split (WALES)'!$D$18="Land Registry Data",'House Prices (North Wales)'!H45,'House Prices (North Wales)'!Z45)</f>
        <v>176594.37625591166</v>
      </c>
    </row>
    <row r="46" spans="2:33" x14ac:dyDescent="0.25">
      <c r="B46" s="20">
        <v>52</v>
      </c>
      <c r="C46" s="58">
        <v>156995</v>
      </c>
      <c r="D46" s="59">
        <f>C46*(1+'Tenure Split (North Wales)'!C$118)</f>
        <v>161454.53486308936</v>
      </c>
      <c r="E46" s="59">
        <f>D46*(1+'Tenure Split (North Wales)'!D$118)</f>
        <v>161814.02222332585</v>
      </c>
      <c r="F46" s="59">
        <f>E46*(1+'Tenure Split (North Wales)'!E$118)</f>
        <v>165296.9687315957</v>
      </c>
      <c r="G46" s="59">
        <f>F46*(1+'Tenure Split (North Wales)'!F$118)</f>
        <v>171743.41307118002</v>
      </c>
      <c r="H46" s="59">
        <f>G46*(1+'Tenure Split (North Wales)'!G$118)</f>
        <v>178867.31677610872</v>
      </c>
      <c r="L46" s="64" t="str">
        <f t="shared" si="0"/>
        <v/>
      </c>
      <c r="M46" s="264"/>
      <c r="N46" s="14">
        <f t="shared" si="3"/>
        <v>1</v>
      </c>
      <c r="T46" s="1">
        <f t="shared" si="1"/>
        <v>52</v>
      </c>
      <c r="U46" s="4" t="str">
        <f t="shared" si="2"/>
        <v/>
      </c>
      <c r="V46" s="4" t="e">
        <f>IF($V$3=$M$3,M46,U46*(1+'Tenure Split (WALES)'!C$118))</f>
        <v>#VALUE!</v>
      </c>
      <c r="W46" s="4" t="e">
        <f>V46*(1+'Tenure Split (WALES)'!D$118)</f>
        <v>#VALUE!</v>
      </c>
      <c r="X46" s="4" t="e">
        <f>W46*(1+'Tenure Split (WALES)'!E$118)</f>
        <v>#VALUE!</v>
      </c>
      <c r="Y46" s="4" t="e">
        <f>X46*(1+'Tenure Split (WALES)'!F$118)</f>
        <v>#VALUE!</v>
      </c>
      <c r="Z46" s="4" t="e">
        <f>Y46*(1+'Tenure Split (WALES)'!G$118)</f>
        <v>#VALUE!</v>
      </c>
      <c r="AB46" s="1">
        <v>52</v>
      </c>
      <c r="AC46" s="4">
        <f>IF('Tenure Split (WALES)'!$D$18="Land Registry Data",'House Prices (North Wales)'!D46,'House Prices (North Wales)'!V46)</f>
        <v>161454.53486308936</v>
      </c>
      <c r="AD46" s="4">
        <f>IF('Tenure Split (WALES)'!$D$18="Land Registry Data",'House Prices (North Wales)'!E46,'House Prices (North Wales)'!W46)</f>
        <v>161814.02222332585</v>
      </c>
      <c r="AE46" s="4">
        <f>IF('Tenure Split (WALES)'!$D$18="Land Registry Data",'House Prices (North Wales)'!F46,'House Prices (North Wales)'!X46)</f>
        <v>165296.9687315957</v>
      </c>
      <c r="AF46" s="4">
        <f>IF('Tenure Split (WALES)'!$D$18="Land Registry Data",'House Prices (North Wales)'!G46,'House Prices (North Wales)'!Y46)</f>
        <v>171743.41307118002</v>
      </c>
      <c r="AG46" s="4">
        <f>IF('Tenure Split (WALES)'!$D$18="Land Registry Data",'House Prices (North Wales)'!H46,'House Prices (North Wales)'!Z46)</f>
        <v>178867.31677610872</v>
      </c>
    </row>
    <row r="47" spans="2:33" x14ac:dyDescent="0.25">
      <c r="B47" s="20">
        <v>53</v>
      </c>
      <c r="C47" s="58">
        <v>159000</v>
      </c>
      <c r="D47" s="59">
        <f>C47*(1+'Tenure Split (North Wales)'!C$118)</f>
        <v>163516.48806160202</v>
      </c>
      <c r="E47" s="59">
        <f>D47*(1+'Tenure Split (North Wales)'!D$118)</f>
        <v>163880.5664735107</v>
      </c>
      <c r="F47" s="59">
        <f>E47*(1+'Tenure Split (North Wales)'!E$118)</f>
        <v>167407.99406556718</v>
      </c>
      <c r="G47" s="59">
        <f>F47*(1+'Tenure Split (North Wales)'!F$118)</f>
        <v>173936.76663790329</v>
      </c>
      <c r="H47" s="59">
        <f>G47*(1+'Tenure Split (North Wales)'!G$118)</f>
        <v>181151.65048187069</v>
      </c>
      <c r="L47" s="64" t="str">
        <f t="shared" si="0"/>
        <v/>
      </c>
      <c r="M47" s="264"/>
      <c r="N47" s="14">
        <f t="shared" si="3"/>
        <v>1</v>
      </c>
      <c r="T47" s="1">
        <f t="shared" si="1"/>
        <v>53</v>
      </c>
      <c r="U47" s="4" t="str">
        <f t="shared" si="2"/>
        <v/>
      </c>
      <c r="V47" s="4" t="e">
        <f>IF($V$3=$M$3,M47,U47*(1+'Tenure Split (WALES)'!C$118))</f>
        <v>#VALUE!</v>
      </c>
      <c r="W47" s="4" t="e">
        <f>V47*(1+'Tenure Split (WALES)'!D$118)</f>
        <v>#VALUE!</v>
      </c>
      <c r="X47" s="4" t="e">
        <f>W47*(1+'Tenure Split (WALES)'!E$118)</f>
        <v>#VALUE!</v>
      </c>
      <c r="Y47" s="4" t="e">
        <f>X47*(1+'Tenure Split (WALES)'!F$118)</f>
        <v>#VALUE!</v>
      </c>
      <c r="Z47" s="4" t="e">
        <f>Y47*(1+'Tenure Split (WALES)'!G$118)</f>
        <v>#VALUE!</v>
      </c>
      <c r="AB47" s="1">
        <v>53</v>
      </c>
      <c r="AC47" s="4">
        <f>IF('Tenure Split (WALES)'!$D$18="Land Registry Data",'House Prices (North Wales)'!D47,'House Prices (North Wales)'!V47)</f>
        <v>163516.48806160202</v>
      </c>
      <c r="AD47" s="4">
        <f>IF('Tenure Split (WALES)'!$D$18="Land Registry Data",'House Prices (North Wales)'!E47,'House Prices (North Wales)'!W47)</f>
        <v>163880.5664735107</v>
      </c>
      <c r="AE47" s="4">
        <f>IF('Tenure Split (WALES)'!$D$18="Land Registry Data",'House Prices (North Wales)'!F47,'House Prices (North Wales)'!X47)</f>
        <v>167407.99406556718</v>
      </c>
      <c r="AF47" s="4">
        <f>IF('Tenure Split (WALES)'!$D$18="Land Registry Data",'House Prices (North Wales)'!G47,'House Prices (North Wales)'!Y47)</f>
        <v>173936.76663790329</v>
      </c>
      <c r="AG47" s="4">
        <f>IF('Tenure Split (WALES)'!$D$18="Land Registry Data",'House Prices (North Wales)'!H47,'House Prices (North Wales)'!Z47)</f>
        <v>181151.65048187069</v>
      </c>
    </row>
    <row r="48" spans="2:33" x14ac:dyDescent="0.25">
      <c r="B48" s="20">
        <v>54</v>
      </c>
      <c r="C48" s="58">
        <v>160000</v>
      </c>
      <c r="D48" s="59">
        <f>C48*(1+'Tenure Split (North Wales)'!C$118)</f>
        <v>164544.8936468951</v>
      </c>
      <c r="E48" s="59">
        <f>D48*(1+'Tenure Split (North Wales)'!D$118)</f>
        <v>164911.26186013652</v>
      </c>
      <c r="F48" s="59">
        <f>E48*(1+'Tenure Split (North Wales)'!E$118)</f>
        <v>168460.87453138831</v>
      </c>
      <c r="G48" s="59">
        <f>F48*(1+'Tenure Split (North Wales)'!F$118)</f>
        <v>175030.70856644353</v>
      </c>
      <c r="H48" s="59">
        <f>G48*(1+'Tenure Split (North Wales)'!G$118)</f>
        <v>182290.96903836043</v>
      </c>
      <c r="L48" s="64" t="str">
        <f t="shared" si="0"/>
        <v/>
      </c>
      <c r="M48" s="264"/>
      <c r="N48" s="14">
        <f t="shared" si="3"/>
        <v>1</v>
      </c>
      <c r="T48" s="1">
        <f t="shared" si="1"/>
        <v>54</v>
      </c>
      <c r="U48" s="4" t="str">
        <f t="shared" si="2"/>
        <v/>
      </c>
      <c r="V48" s="4" t="e">
        <f>IF($V$3=$M$3,M48,U48*(1+'Tenure Split (WALES)'!C$118))</f>
        <v>#VALUE!</v>
      </c>
      <c r="W48" s="4" t="e">
        <f>V48*(1+'Tenure Split (WALES)'!D$118)</f>
        <v>#VALUE!</v>
      </c>
      <c r="X48" s="4" t="e">
        <f>W48*(1+'Tenure Split (WALES)'!E$118)</f>
        <v>#VALUE!</v>
      </c>
      <c r="Y48" s="4" t="e">
        <f>X48*(1+'Tenure Split (WALES)'!F$118)</f>
        <v>#VALUE!</v>
      </c>
      <c r="Z48" s="4" t="e">
        <f>Y48*(1+'Tenure Split (WALES)'!G$118)</f>
        <v>#VALUE!</v>
      </c>
      <c r="AB48" s="1">
        <v>54</v>
      </c>
      <c r="AC48" s="4">
        <f>IF('Tenure Split (WALES)'!$D$18="Land Registry Data",'House Prices (North Wales)'!D48,'House Prices (North Wales)'!V48)</f>
        <v>164544.8936468951</v>
      </c>
      <c r="AD48" s="4">
        <f>IF('Tenure Split (WALES)'!$D$18="Land Registry Data",'House Prices (North Wales)'!E48,'House Prices (North Wales)'!W48)</f>
        <v>164911.26186013652</v>
      </c>
      <c r="AE48" s="4">
        <f>IF('Tenure Split (WALES)'!$D$18="Land Registry Data",'House Prices (North Wales)'!F48,'House Prices (North Wales)'!X48)</f>
        <v>168460.87453138831</v>
      </c>
      <c r="AF48" s="4">
        <f>IF('Tenure Split (WALES)'!$D$18="Land Registry Data",'House Prices (North Wales)'!G48,'House Prices (North Wales)'!Y48)</f>
        <v>175030.70856644353</v>
      </c>
      <c r="AG48" s="4">
        <f>IF('Tenure Split (WALES)'!$D$18="Land Registry Data",'House Prices (North Wales)'!H48,'House Prices (North Wales)'!Z48)</f>
        <v>182290.96903836043</v>
      </c>
    </row>
    <row r="49" spans="2:33" x14ac:dyDescent="0.25">
      <c r="B49" s="20">
        <v>55</v>
      </c>
      <c r="C49" s="58">
        <v>161000</v>
      </c>
      <c r="D49" s="59">
        <f>C49*(1+'Tenure Split (North Wales)'!C$118)</f>
        <v>165573.2992321882</v>
      </c>
      <c r="E49" s="59">
        <f>D49*(1+'Tenure Split (North Wales)'!D$118)</f>
        <v>165941.95724676238</v>
      </c>
      <c r="F49" s="59">
        <f>E49*(1+'Tenure Split (North Wales)'!E$118)</f>
        <v>169513.7549972095</v>
      </c>
      <c r="G49" s="59">
        <f>F49*(1+'Tenure Split (North Wales)'!F$118)</f>
        <v>176124.6504949838</v>
      </c>
      <c r="H49" s="59">
        <f>G49*(1+'Tenure Split (North Wales)'!G$118)</f>
        <v>183430.28759485018</v>
      </c>
      <c r="L49" s="64" t="str">
        <f t="shared" si="0"/>
        <v/>
      </c>
      <c r="M49" s="264"/>
      <c r="N49" s="14">
        <f t="shared" si="3"/>
        <v>1</v>
      </c>
      <c r="T49" s="1">
        <f t="shared" si="1"/>
        <v>55</v>
      </c>
      <c r="U49" s="4" t="str">
        <f t="shared" si="2"/>
        <v/>
      </c>
      <c r="V49" s="4" t="e">
        <f>IF($V$3=$M$3,M49,U49*(1+'Tenure Split (WALES)'!C$118))</f>
        <v>#VALUE!</v>
      </c>
      <c r="W49" s="4" t="e">
        <f>V49*(1+'Tenure Split (WALES)'!D$118)</f>
        <v>#VALUE!</v>
      </c>
      <c r="X49" s="4" t="e">
        <f>W49*(1+'Tenure Split (WALES)'!E$118)</f>
        <v>#VALUE!</v>
      </c>
      <c r="Y49" s="4" t="e">
        <f>X49*(1+'Tenure Split (WALES)'!F$118)</f>
        <v>#VALUE!</v>
      </c>
      <c r="Z49" s="4" t="e">
        <f>Y49*(1+'Tenure Split (WALES)'!G$118)</f>
        <v>#VALUE!</v>
      </c>
      <c r="AB49" s="1">
        <v>55</v>
      </c>
      <c r="AC49" s="4">
        <f>IF('Tenure Split (WALES)'!$D$18="Land Registry Data",'House Prices (North Wales)'!D49,'House Prices (North Wales)'!V49)</f>
        <v>165573.2992321882</v>
      </c>
      <c r="AD49" s="4">
        <f>IF('Tenure Split (WALES)'!$D$18="Land Registry Data",'House Prices (North Wales)'!E49,'House Prices (North Wales)'!W49)</f>
        <v>165941.95724676238</v>
      </c>
      <c r="AE49" s="4">
        <f>IF('Tenure Split (WALES)'!$D$18="Land Registry Data",'House Prices (North Wales)'!F49,'House Prices (North Wales)'!X49)</f>
        <v>169513.7549972095</v>
      </c>
      <c r="AF49" s="4">
        <f>IF('Tenure Split (WALES)'!$D$18="Land Registry Data",'House Prices (North Wales)'!G49,'House Prices (North Wales)'!Y49)</f>
        <v>176124.6504949838</v>
      </c>
      <c r="AG49" s="4">
        <f>IF('Tenure Split (WALES)'!$D$18="Land Registry Data",'House Prices (North Wales)'!H49,'House Prices (North Wales)'!Z49)</f>
        <v>183430.28759485018</v>
      </c>
    </row>
    <row r="50" spans="2:33" x14ac:dyDescent="0.25">
      <c r="B50" s="20">
        <v>56</v>
      </c>
      <c r="C50" s="58">
        <v>164000</v>
      </c>
      <c r="D50" s="59">
        <f>C50*(1+'Tenure Split (North Wales)'!C$118)</f>
        <v>168658.51598806749</v>
      </c>
      <c r="E50" s="59">
        <f>D50*(1+'Tenure Split (North Wales)'!D$118)</f>
        <v>169034.04340663995</v>
      </c>
      <c r="F50" s="59">
        <f>E50*(1+'Tenure Split (North Wales)'!E$118)</f>
        <v>172672.39639467304</v>
      </c>
      <c r="G50" s="59">
        <f>F50*(1+'Tenure Split (North Wales)'!F$118)</f>
        <v>179406.47628060463</v>
      </c>
      <c r="H50" s="59">
        <f>G50*(1+'Tenure Split (North Wales)'!G$118)</f>
        <v>186848.24326431946</v>
      </c>
      <c r="L50" s="64" t="str">
        <f t="shared" si="0"/>
        <v/>
      </c>
      <c r="M50" s="264"/>
      <c r="N50" s="14">
        <f t="shared" si="3"/>
        <v>1</v>
      </c>
      <c r="T50" s="1">
        <f t="shared" si="1"/>
        <v>56</v>
      </c>
      <c r="U50" s="4" t="str">
        <f t="shared" si="2"/>
        <v/>
      </c>
      <c r="V50" s="4" t="e">
        <f>IF($V$3=$M$3,M50,U50*(1+'Tenure Split (WALES)'!C$118))</f>
        <v>#VALUE!</v>
      </c>
      <c r="W50" s="4" t="e">
        <f>V50*(1+'Tenure Split (WALES)'!D$118)</f>
        <v>#VALUE!</v>
      </c>
      <c r="X50" s="4" t="e">
        <f>W50*(1+'Tenure Split (WALES)'!E$118)</f>
        <v>#VALUE!</v>
      </c>
      <c r="Y50" s="4" t="e">
        <f>X50*(1+'Tenure Split (WALES)'!F$118)</f>
        <v>#VALUE!</v>
      </c>
      <c r="Z50" s="4" t="e">
        <f>Y50*(1+'Tenure Split (WALES)'!G$118)</f>
        <v>#VALUE!</v>
      </c>
      <c r="AB50" s="1">
        <v>56</v>
      </c>
      <c r="AC50" s="4">
        <f>IF('Tenure Split (WALES)'!$D$18="Land Registry Data",'House Prices (North Wales)'!D50,'House Prices (North Wales)'!V50)</f>
        <v>168658.51598806749</v>
      </c>
      <c r="AD50" s="4">
        <f>IF('Tenure Split (WALES)'!$D$18="Land Registry Data",'House Prices (North Wales)'!E50,'House Prices (North Wales)'!W50)</f>
        <v>169034.04340663995</v>
      </c>
      <c r="AE50" s="4">
        <f>IF('Tenure Split (WALES)'!$D$18="Land Registry Data",'House Prices (North Wales)'!F50,'House Prices (North Wales)'!X50)</f>
        <v>172672.39639467304</v>
      </c>
      <c r="AF50" s="4">
        <f>IF('Tenure Split (WALES)'!$D$18="Land Registry Data",'House Prices (North Wales)'!G50,'House Prices (North Wales)'!Y50)</f>
        <v>179406.47628060463</v>
      </c>
      <c r="AG50" s="4">
        <f>IF('Tenure Split (WALES)'!$D$18="Land Registry Data",'House Prices (North Wales)'!H50,'House Prices (North Wales)'!Z50)</f>
        <v>186848.24326431946</v>
      </c>
    </row>
    <row r="51" spans="2:33" x14ac:dyDescent="0.25">
      <c r="B51" s="20">
        <v>57</v>
      </c>
      <c r="C51" s="58">
        <v>165000</v>
      </c>
      <c r="D51" s="59">
        <f>C51*(1+'Tenure Split (North Wales)'!C$118)</f>
        <v>169686.9215733606</v>
      </c>
      <c r="E51" s="59">
        <f>D51*(1+'Tenure Split (North Wales)'!D$118)</f>
        <v>170064.73879326583</v>
      </c>
      <c r="F51" s="59">
        <f>E51*(1+'Tenure Split (North Wales)'!E$118)</f>
        <v>173725.27686049425</v>
      </c>
      <c r="G51" s="59">
        <f>F51*(1+'Tenure Split (North Wales)'!F$118)</f>
        <v>180500.41820914493</v>
      </c>
      <c r="H51" s="59">
        <f>G51*(1+'Tenure Split (North Wales)'!G$118)</f>
        <v>187987.56182080923</v>
      </c>
      <c r="L51" s="64" t="str">
        <f t="shared" si="0"/>
        <v/>
      </c>
      <c r="M51" s="264"/>
      <c r="N51" s="14">
        <f t="shared" si="3"/>
        <v>1</v>
      </c>
      <c r="T51" s="1">
        <f t="shared" si="1"/>
        <v>57</v>
      </c>
      <c r="U51" s="4" t="str">
        <f t="shared" si="2"/>
        <v/>
      </c>
      <c r="V51" s="4" t="e">
        <f>IF($V$3=$M$3,M51,U51*(1+'Tenure Split (WALES)'!C$118))</f>
        <v>#VALUE!</v>
      </c>
      <c r="W51" s="4" t="e">
        <f>V51*(1+'Tenure Split (WALES)'!D$118)</f>
        <v>#VALUE!</v>
      </c>
      <c r="X51" s="4" t="e">
        <f>W51*(1+'Tenure Split (WALES)'!E$118)</f>
        <v>#VALUE!</v>
      </c>
      <c r="Y51" s="4" t="e">
        <f>X51*(1+'Tenure Split (WALES)'!F$118)</f>
        <v>#VALUE!</v>
      </c>
      <c r="Z51" s="4" t="e">
        <f>Y51*(1+'Tenure Split (WALES)'!G$118)</f>
        <v>#VALUE!</v>
      </c>
      <c r="AB51" s="1">
        <v>57</v>
      </c>
      <c r="AC51" s="4">
        <f>IF('Tenure Split (WALES)'!$D$18="Land Registry Data",'House Prices (North Wales)'!D51,'House Prices (North Wales)'!V51)</f>
        <v>169686.9215733606</v>
      </c>
      <c r="AD51" s="4">
        <f>IF('Tenure Split (WALES)'!$D$18="Land Registry Data",'House Prices (North Wales)'!E51,'House Prices (North Wales)'!W51)</f>
        <v>170064.73879326583</v>
      </c>
      <c r="AE51" s="4">
        <f>IF('Tenure Split (WALES)'!$D$18="Land Registry Data",'House Prices (North Wales)'!F51,'House Prices (North Wales)'!X51)</f>
        <v>173725.27686049425</v>
      </c>
      <c r="AF51" s="4">
        <f>IF('Tenure Split (WALES)'!$D$18="Land Registry Data",'House Prices (North Wales)'!G51,'House Prices (North Wales)'!Y51)</f>
        <v>180500.41820914493</v>
      </c>
      <c r="AG51" s="4">
        <f>IF('Tenure Split (WALES)'!$D$18="Land Registry Data",'House Prices (North Wales)'!H51,'House Prices (North Wales)'!Z51)</f>
        <v>187987.56182080923</v>
      </c>
    </row>
    <row r="52" spans="2:33" x14ac:dyDescent="0.25">
      <c r="B52" s="20">
        <v>58</v>
      </c>
      <c r="C52" s="58">
        <v>167000</v>
      </c>
      <c r="D52" s="59">
        <f>C52*(1+'Tenure Split (North Wales)'!C$118)</f>
        <v>171743.73274394678</v>
      </c>
      <c r="E52" s="59">
        <f>D52*(1+'Tenure Split (North Wales)'!D$118)</f>
        <v>172126.12956651751</v>
      </c>
      <c r="F52" s="59">
        <f>E52*(1+'Tenure Split (North Wales)'!E$118)</f>
        <v>175831.03779213657</v>
      </c>
      <c r="G52" s="59">
        <f>F52*(1+'Tenure Split (North Wales)'!F$118)</f>
        <v>182688.30206622544</v>
      </c>
      <c r="H52" s="59">
        <f>G52*(1+'Tenure Split (North Wales)'!G$118)</f>
        <v>190266.19893378869</v>
      </c>
      <c r="L52" s="64" t="str">
        <f t="shared" si="0"/>
        <v/>
      </c>
      <c r="M52" s="264"/>
      <c r="N52" s="14">
        <f t="shared" si="3"/>
        <v>1</v>
      </c>
      <c r="T52" s="1">
        <f t="shared" si="1"/>
        <v>58</v>
      </c>
      <c r="U52" s="4" t="str">
        <f t="shared" si="2"/>
        <v/>
      </c>
      <c r="V52" s="4" t="e">
        <f>IF($V$3=$M$3,M52,U52*(1+'Tenure Split (WALES)'!C$118))</f>
        <v>#VALUE!</v>
      </c>
      <c r="W52" s="4" t="e">
        <f>V52*(1+'Tenure Split (WALES)'!D$118)</f>
        <v>#VALUE!</v>
      </c>
      <c r="X52" s="4" t="e">
        <f>W52*(1+'Tenure Split (WALES)'!E$118)</f>
        <v>#VALUE!</v>
      </c>
      <c r="Y52" s="4" t="e">
        <f>X52*(1+'Tenure Split (WALES)'!F$118)</f>
        <v>#VALUE!</v>
      </c>
      <c r="Z52" s="4" t="e">
        <f>Y52*(1+'Tenure Split (WALES)'!G$118)</f>
        <v>#VALUE!</v>
      </c>
      <c r="AB52" s="1">
        <v>58</v>
      </c>
      <c r="AC52" s="4">
        <f>IF('Tenure Split (WALES)'!$D$18="Land Registry Data",'House Prices (North Wales)'!D52,'House Prices (North Wales)'!V52)</f>
        <v>171743.73274394678</v>
      </c>
      <c r="AD52" s="4">
        <f>IF('Tenure Split (WALES)'!$D$18="Land Registry Data",'House Prices (North Wales)'!E52,'House Prices (North Wales)'!W52)</f>
        <v>172126.12956651751</v>
      </c>
      <c r="AE52" s="4">
        <f>IF('Tenure Split (WALES)'!$D$18="Land Registry Data",'House Prices (North Wales)'!F52,'House Prices (North Wales)'!X52)</f>
        <v>175831.03779213657</v>
      </c>
      <c r="AF52" s="4">
        <f>IF('Tenure Split (WALES)'!$D$18="Land Registry Data",'House Prices (North Wales)'!G52,'House Prices (North Wales)'!Y52)</f>
        <v>182688.30206622544</v>
      </c>
      <c r="AG52" s="4">
        <f>IF('Tenure Split (WALES)'!$D$18="Land Registry Data",'House Prices (North Wales)'!H52,'House Prices (North Wales)'!Z52)</f>
        <v>190266.19893378869</v>
      </c>
    </row>
    <row r="53" spans="2:33" x14ac:dyDescent="0.25">
      <c r="B53" s="20">
        <v>59</v>
      </c>
      <c r="C53" s="58">
        <v>169950</v>
      </c>
      <c r="D53" s="59">
        <f>C53*(1+'Tenure Split (North Wales)'!C$118)</f>
        <v>174777.52922056141</v>
      </c>
      <c r="E53" s="59">
        <f>D53*(1+'Tenure Split (North Wales)'!D$118)</f>
        <v>175166.6809570638</v>
      </c>
      <c r="F53" s="59">
        <f>E53*(1+'Tenure Split (North Wales)'!E$118)</f>
        <v>178937.03516630907</v>
      </c>
      <c r="G53" s="59">
        <f>F53*(1+'Tenure Split (North Wales)'!F$118)</f>
        <v>185915.43075541928</v>
      </c>
      <c r="H53" s="59">
        <f>G53*(1+'Tenure Split (North Wales)'!G$118)</f>
        <v>193627.18867543351</v>
      </c>
      <c r="L53" s="64" t="str">
        <f t="shared" si="0"/>
        <v/>
      </c>
      <c r="M53" s="264"/>
      <c r="N53" s="14">
        <f t="shared" si="3"/>
        <v>1</v>
      </c>
      <c r="T53" s="1">
        <f t="shared" si="1"/>
        <v>59</v>
      </c>
      <c r="U53" s="4" t="str">
        <f t="shared" si="2"/>
        <v/>
      </c>
      <c r="V53" s="4" t="e">
        <f>IF($V$3=$M$3,M53,U53*(1+'Tenure Split (WALES)'!C$118))</f>
        <v>#VALUE!</v>
      </c>
      <c r="W53" s="4" t="e">
        <f>V53*(1+'Tenure Split (WALES)'!D$118)</f>
        <v>#VALUE!</v>
      </c>
      <c r="X53" s="4" t="e">
        <f>W53*(1+'Tenure Split (WALES)'!E$118)</f>
        <v>#VALUE!</v>
      </c>
      <c r="Y53" s="4" t="e">
        <f>X53*(1+'Tenure Split (WALES)'!F$118)</f>
        <v>#VALUE!</v>
      </c>
      <c r="Z53" s="4" t="e">
        <f>Y53*(1+'Tenure Split (WALES)'!G$118)</f>
        <v>#VALUE!</v>
      </c>
      <c r="AB53" s="1">
        <v>59</v>
      </c>
      <c r="AC53" s="4">
        <f>IF('Tenure Split (WALES)'!$D$18="Land Registry Data",'House Prices (North Wales)'!D53,'House Prices (North Wales)'!V53)</f>
        <v>174777.52922056141</v>
      </c>
      <c r="AD53" s="4">
        <f>IF('Tenure Split (WALES)'!$D$18="Land Registry Data",'House Prices (North Wales)'!E53,'House Prices (North Wales)'!W53)</f>
        <v>175166.6809570638</v>
      </c>
      <c r="AE53" s="4">
        <f>IF('Tenure Split (WALES)'!$D$18="Land Registry Data",'House Prices (North Wales)'!F53,'House Prices (North Wales)'!X53)</f>
        <v>178937.03516630907</v>
      </c>
      <c r="AF53" s="4">
        <f>IF('Tenure Split (WALES)'!$D$18="Land Registry Data",'House Prices (North Wales)'!G53,'House Prices (North Wales)'!Y53)</f>
        <v>185915.43075541928</v>
      </c>
      <c r="AG53" s="4">
        <f>IF('Tenure Split (WALES)'!$D$18="Land Registry Data",'House Prices (North Wales)'!H53,'House Prices (North Wales)'!Z53)</f>
        <v>193627.18867543351</v>
      </c>
    </row>
    <row r="54" spans="2:33" x14ac:dyDescent="0.25">
      <c r="B54" s="20">
        <v>60</v>
      </c>
      <c r="C54" s="58">
        <v>170000</v>
      </c>
      <c r="D54" s="59">
        <f>C54*(1+'Tenure Split (North Wales)'!C$118)</f>
        <v>174828.94949982606</v>
      </c>
      <c r="E54" s="59">
        <f>D54*(1+'Tenure Split (North Wales)'!D$118)</f>
        <v>175218.21572639508</v>
      </c>
      <c r="F54" s="59">
        <f>E54*(1+'Tenure Split (North Wales)'!E$118)</f>
        <v>178989.67918960011</v>
      </c>
      <c r="G54" s="59">
        <f>F54*(1+'Tenure Split (North Wales)'!F$118)</f>
        <v>185970.12785184628</v>
      </c>
      <c r="H54" s="59">
        <f>G54*(1+'Tenure Split (North Wales)'!G$118)</f>
        <v>193684.15460325798</v>
      </c>
      <c r="L54" s="64" t="str">
        <f t="shared" si="0"/>
        <v/>
      </c>
      <c r="M54" s="264"/>
      <c r="N54" s="14">
        <f t="shared" si="3"/>
        <v>1</v>
      </c>
      <c r="T54" s="1">
        <f t="shared" si="1"/>
        <v>60</v>
      </c>
      <c r="U54" s="4" t="str">
        <f t="shared" si="2"/>
        <v/>
      </c>
      <c r="V54" s="4" t="e">
        <f>IF($V$3=$M$3,M54,U54*(1+'Tenure Split (WALES)'!C$118))</f>
        <v>#VALUE!</v>
      </c>
      <c r="W54" s="4" t="e">
        <f>V54*(1+'Tenure Split (WALES)'!D$118)</f>
        <v>#VALUE!</v>
      </c>
      <c r="X54" s="4" t="e">
        <f>W54*(1+'Tenure Split (WALES)'!E$118)</f>
        <v>#VALUE!</v>
      </c>
      <c r="Y54" s="4" t="e">
        <f>X54*(1+'Tenure Split (WALES)'!F$118)</f>
        <v>#VALUE!</v>
      </c>
      <c r="Z54" s="4" t="e">
        <f>Y54*(1+'Tenure Split (WALES)'!G$118)</f>
        <v>#VALUE!</v>
      </c>
      <c r="AB54" s="1">
        <v>60</v>
      </c>
      <c r="AC54" s="4">
        <f>IF('Tenure Split (WALES)'!$D$18="Land Registry Data",'House Prices (North Wales)'!D54,'House Prices (North Wales)'!V54)</f>
        <v>174828.94949982606</v>
      </c>
      <c r="AD54" s="4">
        <f>IF('Tenure Split (WALES)'!$D$18="Land Registry Data",'House Prices (North Wales)'!E54,'House Prices (North Wales)'!W54)</f>
        <v>175218.21572639508</v>
      </c>
      <c r="AE54" s="4">
        <f>IF('Tenure Split (WALES)'!$D$18="Land Registry Data",'House Prices (North Wales)'!F54,'House Prices (North Wales)'!X54)</f>
        <v>178989.67918960011</v>
      </c>
      <c r="AF54" s="4">
        <f>IF('Tenure Split (WALES)'!$D$18="Land Registry Data",'House Prices (North Wales)'!G54,'House Prices (North Wales)'!Y54)</f>
        <v>185970.12785184628</v>
      </c>
      <c r="AG54" s="4">
        <f>IF('Tenure Split (WALES)'!$D$18="Land Registry Data",'House Prices (North Wales)'!H54,'House Prices (North Wales)'!Z54)</f>
        <v>193684.15460325798</v>
      </c>
    </row>
    <row r="55" spans="2:33" x14ac:dyDescent="0.25">
      <c r="B55" s="20">
        <v>61</v>
      </c>
      <c r="C55" s="58">
        <v>173000</v>
      </c>
      <c r="D55" s="59">
        <f>C55*(1+'Tenure Split (North Wales)'!C$118)</f>
        <v>177914.16625570535</v>
      </c>
      <c r="E55" s="59">
        <f>D55*(1+'Tenure Split (North Wales)'!D$118)</f>
        <v>178310.30188627265</v>
      </c>
      <c r="F55" s="59">
        <f>E55*(1+'Tenure Split (North Wales)'!E$118)</f>
        <v>182148.32058706364</v>
      </c>
      <c r="G55" s="59">
        <f>F55*(1+'Tenure Split (North Wales)'!F$118)</f>
        <v>189251.95363746709</v>
      </c>
      <c r="H55" s="59">
        <f>G55*(1+'Tenure Split (North Wales)'!G$118)</f>
        <v>197102.11027272724</v>
      </c>
      <c r="L55" s="64" t="str">
        <f t="shared" si="0"/>
        <v/>
      </c>
      <c r="M55" s="264"/>
      <c r="N55" s="14">
        <f t="shared" si="3"/>
        <v>1</v>
      </c>
      <c r="T55" s="1">
        <f t="shared" si="1"/>
        <v>61</v>
      </c>
      <c r="U55" s="4" t="str">
        <f t="shared" si="2"/>
        <v/>
      </c>
      <c r="V55" s="4" t="e">
        <f>IF($V$3=$M$3,M55,U55*(1+'Tenure Split (WALES)'!C$118))</f>
        <v>#VALUE!</v>
      </c>
      <c r="W55" s="4" t="e">
        <f>V55*(1+'Tenure Split (WALES)'!D$118)</f>
        <v>#VALUE!</v>
      </c>
      <c r="X55" s="4" t="e">
        <f>W55*(1+'Tenure Split (WALES)'!E$118)</f>
        <v>#VALUE!</v>
      </c>
      <c r="Y55" s="4" t="e">
        <f>X55*(1+'Tenure Split (WALES)'!F$118)</f>
        <v>#VALUE!</v>
      </c>
      <c r="Z55" s="4" t="e">
        <f>Y55*(1+'Tenure Split (WALES)'!G$118)</f>
        <v>#VALUE!</v>
      </c>
      <c r="AB55" s="1">
        <v>61</v>
      </c>
      <c r="AC55" s="4">
        <f>IF('Tenure Split (WALES)'!$D$18="Land Registry Data",'House Prices (North Wales)'!D55,'House Prices (North Wales)'!V55)</f>
        <v>177914.16625570535</v>
      </c>
      <c r="AD55" s="4">
        <f>IF('Tenure Split (WALES)'!$D$18="Land Registry Data",'House Prices (North Wales)'!E55,'House Prices (North Wales)'!W55)</f>
        <v>178310.30188627265</v>
      </c>
      <c r="AE55" s="4">
        <f>IF('Tenure Split (WALES)'!$D$18="Land Registry Data",'House Prices (North Wales)'!F55,'House Prices (North Wales)'!X55)</f>
        <v>182148.32058706364</v>
      </c>
      <c r="AF55" s="4">
        <f>IF('Tenure Split (WALES)'!$D$18="Land Registry Data",'House Prices (North Wales)'!G55,'House Prices (North Wales)'!Y55)</f>
        <v>189251.95363746709</v>
      </c>
      <c r="AG55" s="4">
        <f>IF('Tenure Split (WALES)'!$D$18="Land Registry Data",'House Prices (North Wales)'!H55,'House Prices (North Wales)'!Z55)</f>
        <v>197102.11027272724</v>
      </c>
    </row>
    <row r="56" spans="2:33" x14ac:dyDescent="0.25">
      <c r="B56" s="20">
        <v>62</v>
      </c>
      <c r="C56" s="58">
        <v>175000</v>
      </c>
      <c r="D56" s="59">
        <f>C56*(1+'Tenure Split (North Wales)'!C$118)</f>
        <v>179970.97742629153</v>
      </c>
      <c r="E56" s="59">
        <f>D56*(1+'Tenure Split (North Wales)'!D$118)</f>
        <v>180371.69265952436</v>
      </c>
      <c r="F56" s="59">
        <f>E56*(1+'Tenure Split (North Wales)'!E$118)</f>
        <v>184254.08151870602</v>
      </c>
      <c r="G56" s="59">
        <f>F56*(1+'Tenure Split (North Wales)'!F$118)</f>
        <v>191439.83749454765</v>
      </c>
      <c r="H56" s="59">
        <f>G56*(1+'Tenure Split (North Wales)'!G$118)</f>
        <v>199380.74738570675</v>
      </c>
      <c r="L56" s="64" t="str">
        <f t="shared" si="0"/>
        <v/>
      </c>
      <c r="M56" s="264"/>
      <c r="N56" s="14">
        <f t="shared" si="3"/>
        <v>1</v>
      </c>
      <c r="T56" s="1">
        <f t="shared" si="1"/>
        <v>62</v>
      </c>
      <c r="U56" s="4" t="str">
        <f t="shared" si="2"/>
        <v/>
      </c>
      <c r="V56" s="4" t="e">
        <f>IF($V$3=$M$3,M56,U56*(1+'Tenure Split (WALES)'!C$118))</f>
        <v>#VALUE!</v>
      </c>
      <c r="W56" s="4" t="e">
        <f>V56*(1+'Tenure Split (WALES)'!D$118)</f>
        <v>#VALUE!</v>
      </c>
      <c r="X56" s="4" t="e">
        <f>W56*(1+'Tenure Split (WALES)'!E$118)</f>
        <v>#VALUE!</v>
      </c>
      <c r="Y56" s="4" t="e">
        <f>X56*(1+'Tenure Split (WALES)'!F$118)</f>
        <v>#VALUE!</v>
      </c>
      <c r="Z56" s="4" t="e">
        <f>Y56*(1+'Tenure Split (WALES)'!G$118)</f>
        <v>#VALUE!</v>
      </c>
      <c r="AB56" s="1">
        <v>62</v>
      </c>
      <c r="AC56" s="4">
        <f>IF('Tenure Split (WALES)'!$D$18="Land Registry Data",'House Prices (North Wales)'!D56,'House Prices (North Wales)'!V56)</f>
        <v>179970.97742629153</v>
      </c>
      <c r="AD56" s="4">
        <f>IF('Tenure Split (WALES)'!$D$18="Land Registry Data",'House Prices (North Wales)'!E56,'House Prices (North Wales)'!W56)</f>
        <v>180371.69265952436</v>
      </c>
      <c r="AE56" s="4">
        <f>IF('Tenure Split (WALES)'!$D$18="Land Registry Data",'House Prices (North Wales)'!F56,'House Prices (North Wales)'!X56)</f>
        <v>184254.08151870602</v>
      </c>
      <c r="AF56" s="4">
        <f>IF('Tenure Split (WALES)'!$D$18="Land Registry Data",'House Prices (North Wales)'!G56,'House Prices (North Wales)'!Y56)</f>
        <v>191439.83749454765</v>
      </c>
      <c r="AG56" s="4">
        <f>IF('Tenure Split (WALES)'!$D$18="Land Registry Data",'House Prices (North Wales)'!H56,'House Prices (North Wales)'!Z56)</f>
        <v>199380.74738570675</v>
      </c>
    </row>
    <row r="57" spans="2:33" x14ac:dyDescent="0.25">
      <c r="B57" s="20">
        <v>63</v>
      </c>
      <c r="C57" s="58">
        <v>177000</v>
      </c>
      <c r="D57" s="59">
        <f>C57*(1+'Tenure Split (North Wales)'!C$118)</f>
        <v>182027.78859687771</v>
      </c>
      <c r="E57" s="59">
        <f>D57*(1+'Tenure Split (North Wales)'!D$118)</f>
        <v>182433.08343277604</v>
      </c>
      <c r="F57" s="59">
        <f>E57*(1+'Tenure Split (North Wales)'!E$118)</f>
        <v>186359.84245034834</v>
      </c>
      <c r="G57" s="59">
        <f>F57*(1+'Tenure Split (North Wales)'!F$118)</f>
        <v>193627.72135162816</v>
      </c>
      <c r="H57" s="59">
        <f>G57*(1+'Tenure Split (North Wales)'!G$118)</f>
        <v>201659.38449868621</v>
      </c>
      <c r="L57" s="64" t="str">
        <f t="shared" si="0"/>
        <v/>
      </c>
      <c r="M57" s="264"/>
      <c r="N57" s="14">
        <f t="shared" si="3"/>
        <v>1</v>
      </c>
      <c r="T57" s="1">
        <f t="shared" si="1"/>
        <v>63</v>
      </c>
      <c r="U57" s="4" t="str">
        <f t="shared" si="2"/>
        <v/>
      </c>
      <c r="V57" s="4" t="e">
        <f>IF($V$3=$M$3,M57,U57*(1+'Tenure Split (WALES)'!C$118))</f>
        <v>#VALUE!</v>
      </c>
      <c r="W57" s="4" t="e">
        <f>V57*(1+'Tenure Split (WALES)'!D$118)</f>
        <v>#VALUE!</v>
      </c>
      <c r="X57" s="4" t="e">
        <f>W57*(1+'Tenure Split (WALES)'!E$118)</f>
        <v>#VALUE!</v>
      </c>
      <c r="Y57" s="4" t="e">
        <f>X57*(1+'Tenure Split (WALES)'!F$118)</f>
        <v>#VALUE!</v>
      </c>
      <c r="Z57" s="4" t="e">
        <f>Y57*(1+'Tenure Split (WALES)'!G$118)</f>
        <v>#VALUE!</v>
      </c>
      <c r="AB57" s="1">
        <v>63</v>
      </c>
      <c r="AC57" s="4">
        <f>IF('Tenure Split (WALES)'!$D$18="Land Registry Data",'House Prices (North Wales)'!D57,'House Prices (North Wales)'!V57)</f>
        <v>182027.78859687771</v>
      </c>
      <c r="AD57" s="4">
        <f>IF('Tenure Split (WALES)'!$D$18="Land Registry Data",'House Prices (North Wales)'!E57,'House Prices (North Wales)'!W57)</f>
        <v>182433.08343277604</v>
      </c>
      <c r="AE57" s="4">
        <f>IF('Tenure Split (WALES)'!$D$18="Land Registry Data",'House Prices (North Wales)'!F57,'House Prices (North Wales)'!X57)</f>
        <v>186359.84245034834</v>
      </c>
      <c r="AF57" s="4">
        <f>IF('Tenure Split (WALES)'!$D$18="Land Registry Data",'House Prices (North Wales)'!G57,'House Prices (North Wales)'!Y57)</f>
        <v>193627.72135162816</v>
      </c>
      <c r="AG57" s="4">
        <f>IF('Tenure Split (WALES)'!$D$18="Land Registry Data",'House Prices (North Wales)'!H57,'House Prices (North Wales)'!Z57)</f>
        <v>201659.38449868621</v>
      </c>
    </row>
    <row r="58" spans="2:33" x14ac:dyDescent="0.25">
      <c r="B58" s="20">
        <v>64</v>
      </c>
      <c r="C58" s="58">
        <v>180000</v>
      </c>
      <c r="D58" s="59">
        <f>C58*(1+'Tenure Split (North Wales)'!C$118)</f>
        <v>185113.005352757</v>
      </c>
      <c r="E58" s="59">
        <f>D58*(1+'Tenure Split (North Wales)'!D$118)</f>
        <v>185525.1695926536</v>
      </c>
      <c r="F58" s="59">
        <f>E58*(1+'Tenure Split (North Wales)'!E$118)</f>
        <v>189518.48384781188</v>
      </c>
      <c r="G58" s="59">
        <f>F58*(1+'Tenure Split (North Wales)'!F$118)</f>
        <v>196909.54713724897</v>
      </c>
      <c r="H58" s="59">
        <f>G58*(1+'Tenure Split (North Wales)'!G$118)</f>
        <v>205077.34016815547</v>
      </c>
      <c r="L58" s="64" t="str">
        <f t="shared" si="0"/>
        <v/>
      </c>
      <c r="M58" s="264"/>
      <c r="N58" s="14">
        <f t="shared" si="3"/>
        <v>1</v>
      </c>
      <c r="T58" s="1">
        <f t="shared" si="1"/>
        <v>64</v>
      </c>
      <c r="U58" s="4" t="str">
        <f t="shared" si="2"/>
        <v/>
      </c>
      <c r="V58" s="4" t="e">
        <f>IF($V$3=$M$3,M58,U58*(1+'Tenure Split (WALES)'!C$118))</f>
        <v>#VALUE!</v>
      </c>
      <c r="W58" s="4" t="e">
        <f>V58*(1+'Tenure Split (WALES)'!D$118)</f>
        <v>#VALUE!</v>
      </c>
      <c r="X58" s="4" t="e">
        <f>W58*(1+'Tenure Split (WALES)'!E$118)</f>
        <v>#VALUE!</v>
      </c>
      <c r="Y58" s="4" t="e">
        <f>X58*(1+'Tenure Split (WALES)'!F$118)</f>
        <v>#VALUE!</v>
      </c>
      <c r="Z58" s="4" t="e">
        <f>Y58*(1+'Tenure Split (WALES)'!G$118)</f>
        <v>#VALUE!</v>
      </c>
      <c r="AB58" s="1">
        <v>64</v>
      </c>
      <c r="AC58" s="4">
        <f>IF('Tenure Split (WALES)'!$D$18="Land Registry Data",'House Prices (North Wales)'!D58,'House Prices (North Wales)'!V58)</f>
        <v>185113.005352757</v>
      </c>
      <c r="AD58" s="4">
        <f>IF('Tenure Split (WALES)'!$D$18="Land Registry Data",'House Prices (North Wales)'!E58,'House Prices (North Wales)'!W58)</f>
        <v>185525.1695926536</v>
      </c>
      <c r="AE58" s="4">
        <f>IF('Tenure Split (WALES)'!$D$18="Land Registry Data",'House Prices (North Wales)'!F58,'House Prices (North Wales)'!X58)</f>
        <v>189518.48384781188</v>
      </c>
      <c r="AF58" s="4">
        <f>IF('Tenure Split (WALES)'!$D$18="Land Registry Data",'House Prices (North Wales)'!G58,'House Prices (North Wales)'!Y58)</f>
        <v>196909.54713724897</v>
      </c>
      <c r="AG58" s="4">
        <f>IF('Tenure Split (WALES)'!$D$18="Land Registry Data",'House Prices (North Wales)'!H58,'House Prices (North Wales)'!Z58)</f>
        <v>205077.34016815547</v>
      </c>
    </row>
    <row r="59" spans="2:33" x14ac:dyDescent="0.25">
      <c r="B59" s="20">
        <v>65</v>
      </c>
      <c r="C59" s="58">
        <v>180970.50000000015</v>
      </c>
      <c r="D59" s="59">
        <f>C59*(1+'Tenure Split (North Wales)'!C$118)</f>
        <v>186111.07297328408</v>
      </c>
      <c r="E59" s="59">
        <f>D59*(1+'Tenure Split (North Wales)'!D$118)</f>
        <v>186525.45946537415</v>
      </c>
      <c r="F59" s="59">
        <f>E59*(1+'Tenure Split (North Wales)'!E$118)</f>
        <v>190540.3043398915</v>
      </c>
      <c r="G59" s="59">
        <f>F59*(1+'Tenure Split (North Wales)'!F$118)</f>
        <v>197971.2177788975</v>
      </c>
      <c r="H59" s="59">
        <f>G59*(1+'Tenure Split (North Wales)'!G$118)</f>
        <v>206183.04882722898</v>
      </c>
      <c r="L59" s="64" t="str">
        <f t="shared" si="0"/>
        <v/>
      </c>
      <c r="M59" s="264"/>
      <c r="N59" s="14">
        <f t="shared" si="3"/>
        <v>1</v>
      </c>
      <c r="T59" s="1">
        <f t="shared" si="1"/>
        <v>65</v>
      </c>
      <c r="U59" s="4" t="str">
        <f t="shared" si="2"/>
        <v/>
      </c>
      <c r="V59" s="4" t="e">
        <f>IF($V$3=$M$3,M59,U59*(1+'Tenure Split (WALES)'!C$118))</f>
        <v>#VALUE!</v>
      </c>
      <c r="W59" s="4" t="e">
        <f>V59*(1+'Tenure Split (WALES)'!D$118)</f>
        <v>#VALUE!</v>
      </c>
      <c r="X59" s="4" t="e">
        <f>W59*(1+'Tenure Split (WALES)'!E$118)</f>
        <v>#VALUE!</v>
      </c>
      <c r="Y59" s="4" t="e">
        <f>X59*(1+'Tenure Split (WALES)'!F$118)</f>
        <v>#VALUE!</v>
      </c>
      <c r="Z59" s="4" t="e">
        <f>Y59*(1+'Tenure Split (WALES)'!G$118)</f>
        <v>#VALUE!</v>
      </c>
      <c r="AB59" s="1">
        <v>65</v>
      </c>
      <c r="AC59" s="4">
        <f>IF('Tenure Split (WALES)'!$D$18="Land Registry Data",'House Prices (North Wales)'!D59,'House Prices (North Wales)'!V59)</f>
        <v>186111.07297328408</v>
      </c>
      <c r="AD59" s="4">
        <f>IF('Tenure Split (WALES)'!$D$18="Land Registry Data",'House Prices (North Wales)'!E59,'House Prices (North Wales)'!W59)</f>
        <v>186525.45946537415</v>
      </c>
      <c r="AE59" s="4">
        <f>IF('Tenure Split (WALES)'!$D$18="Land Registry Data",'House Prices (North Wales)'!F59,'House Prices (North Wales)'!X59)</f>
        <v>190540.3043398915</v>
      </c>
      <c r="AF59" s="4">
        <f>IF('Tenure Split (WALES)'!$D$18="Land Registry Data",'House Prices (North Wales)'!G59,'House Prices (North Wales)'!Y59)</f>
        <v>197971.2177788975</v>
      </c>
      <c r="AG59" s="4">
        <f>IF('Tenure Split (WALES)'!$D$18="Land Registry Data",'House Prices (North Wales)'!H59,'House Prices (North Wales)'!Z59)</f>
        <v>206183.04882722898</v>
      </c>
    </row>
    <row r="60" spans="2:33" x14ac:dyDescent="0.25">
      <c r="B60" s="20">
        <v>66</v>
      </c>
      <c r="C60" s="58">
        <v>185000</v>
      </c>
      <c r="D60" s="59">
        <f>C60*(1+'Tenure Split (North Wales)'!C$118)</f>
        <v>190255.03327922247</v>
      </c>
      <c r="E60" s="59">
        <f>D60*(1+'Tenure Split (North Wales)'!D$118)</f>
        <v>190678.64652578288</v>
      </c>
      <c r="F60" s="59">
        <f>E60*(1+'Tenure Split (North Wales)'!E$118)</f>
        <v>194782.88617691779</v>
      </c>
      <c r="G60" s="59">
        <f>F60*(1+'Tenure Split (North Wales)'!F$118)</f>
        <v>202379.25677995037</v>
      </c>
      <c r="H60" s="59">
        <f>G60*(1+'Tenure Split (North Wales)'!G$118)</f>
        <v>210773.93295060427</v>
      </c>
      <c r="L60" s="64" t="str">
        <f t="shared" si="0"/>
        <v/>
      </c>
      <c r="M60" s="264"/>
      <c r="N60" s="14">
        <f t="shared" si="3"/>
        <v>1</v>
      </c>
      <c r="T60" s="1">
        <f t="shared" si="1"/>
        <v>66</v>
      </c>
      <c r="U60" s="4" t="str">
        <f t="shared" si="2"/>
        <v/>
      </c>
      <c r="V60" s="4" t="e">
        <f>IF($V$3=$M$3,M60,U60*(1+'Tenure Split (WALES)'!C$118))</f>
        <v>#VALUE!</v>
      </c>
      <c r="W60" s="4" t="e">
        <f>V60*(1+'Tenure Split (WALES)'!D$118)</f>
        <v>#VALUE!</v>
      </c>
      <c r="X60" s="4" t="e">
        <f>W60*(1+'Tenure Split (WALES)'!E$118)</f>
        <v>#VALUE!</v>
      </c>
      <c r="Y60" s="4" t="e">
        <f>X60*(1+'Tenure Split (WALES)'!F$118)</f>
        <v>#VALUE!</v>
      </c>
      <c r="Z60" s="4" t="e">
        <f>Y60*(1+'Tenure Split (WALES)'!G$118)</f>
        <v>#VALUE!</v>
      </c>
      <c r="AB60" s="1">
        <v>66</v>
      </c>
      <c r="AC60" s="4">
        <f>IF('Tenure Split (WALES)'!$D$18="Land Registry Data",'House Prices (North Wales)'!D60,'House Prices (North Wales)'!V60)</f>
        <v>190255.03327922247</v>
      </c>
      <c r="AD60" s="4">
        <f>IF('Tenure Split (WALES)'!$D$18="Land Registry Data",'House Prices (North Wales)'!E60,'House Prices (North Wales)'!W60)</f>
        <v>190678.64652578288</v>
      </c>
      <c r="AE60" s="4">
        <f>IF('Tenure Split (WALES)'!$D$18="Land Registry Data",'House Prices (North Wales)'!F60,'House Prices (North Wales)'!X60)</f>
        <v>194782.88617691779</v>
      </c>
      <c r="AF60" s="4">
        <f>IF('Tenure Split (WALES)'!$D$18="Land Registry Data",'House Prices (North Wales)'!G60,'House Prices (North Wales)'!Y60)</f>
        <v>202379.25677995037</v>
      </c>
      <c r="AG60" s="4">
        <f>IF('Tenure Split (WALES)'!$D$18="Land Registry Data",'House Prices (North Wales)'!H60,'House Prices (North Wales)'!Z60)</f>
        <v>210773.93295060427</v>
      </c>
    </row>
    <row r="61" spans="2:33" x14ac:dyDescent="0.25">
      <c r="B61" s="20">
        <v>67</v>
      </c>
      <c r="C61" s="58">
        <v>185000</v>
      </c>
      <c r="D61" s="59">
        <f>C61*(1+'Tenure Split (North Wales)'!C$118)</f>
        <v>190255.03327922247</v>
      </c>
      <c r="E61" s="59">
        <f>D61*(1+'Tenure Split (North Wales)'!D$118)</f>
        <v>190678.64652578288</v>
      </c>
      <c r="F61" s="59">
        <f>E61*(1+'Tenure Split (North Wales)'!E$118)</f>
        <v>194782.88617691779</v>
      </c>
      <c r="G61" s="59">
        <f>F61*(1+'Tenure Split (North Wales)'!F$118)</f>
        <v>202379.25677995037</v>
      </c>
      <c r="H61" s="59">
        <f>G61*(1+'Tenure Split (North Wales)'!G$118)</f>
        <v>210773.93295060427</v>
      </c>
      <c r="L61" s="64" t="str">
        <f t="shared" si="0"/>
        <v/>
      </c>
      <c r="M61" s="264"/>
      <c r="N61" s="14">
        <f t="shared" si="3"/>
        <v>1</v>
      </c>
      <c r="T61" s="1">
        <f t="shared" si="1"/>
        <v>67</v>
      </c>
      <c r="U61" s="4" t="str">
        <f t="shared" si="2"/>
        <v/>
      </c>
      <c r="V61" s="4" t="e">
        <f>IF($V$3=$M$3,M61,U61*(1+'Tenure Split (WALES)'!C$118))</f>
        <v>#VALUE!</v>
      </c>
      <c r="W61" s="4" t="e">
        <f>V61*(1+'Tenure Split (WALES)'!D$118)</f>
        <v>#VALUE!</v>
      </c>
      <c r="X61" s="4" t="e">
        <f>W61*(1+'Tenure Split (WALES)'!E$118)</f>
        <v>#VALUE!</v>
      </c>
      <c r="Y61" s="4" t="e">
        <f>X61*(1+'Tenure Split (WALES)'!F$118)</f>
        <v>#VALUE!</v>
      </c>
      <c r="Z61" s="4" t="e">
        <f>Y61*(1+'Tenure Split (WALES)'!G$118)</f>
        <v>#VALUE!</v>
      </c>
      <c r="AB61" s="1">
        <v>67</v>
      </c>
      <c r="AC61" s="4">
        <f>IF('Tenure Split (WALES)'!$D$18="Land Registry Data",'House Prices (North Wales)'!D61,'House Prices (North Wales)'!V61)</f>
        <v>190255.03327922247</v>
      </c>
      <c r="AD61" s="4">
        <f>IF('Tenure Split (WALES)'!$D$18="Land Registry Data",'House Prices (North Wales)'!E61,'House Prices (North Wales)'!W61)</f>
        <v>190678.64652578288</v>
      </c>
      <c r="AE61" s="4">
        <f>IF('Tenure Split (WALES)'!$D$18="Land Registry Data",'House Prices (North Wales)'!F61,'House Prices (North Wales)'!X61)</f>
        <v>194782.88617691779</v>
      </c>
      <c r="AF61" s="4">
        <f>IF('Tenure Split (WALES)'!$D$18="Land Registry Data",'House Prices (North Wales)'!G61,'House Prices (North Wales)'!Y61)</f>
        <v>202379.25677995037</v>
      </c>
      <c r="AG61" s="4">
        <f>IF('Tenure Split (WALES)'!$D$18="Land Registry Data",'House Prices (North Wales)'!H61,'House Prices (North Wales)'!Z61)</f>
        <v>210773.93295060427</v>
      </c>
    </row>
    <row r="62" spans="2:33" x14ac:dyDescent="0.25">
      <c r="B62" s="20">
        <v>68</v>
      </c>
      <c r="C62" s="58">
        <v>189000</v>
      </c>
      <c r="D62" s="59">
        <f>C62*(1+'Tenure Split (North Wales)'!C$118)</f>
        <v>194368.65562039486</v>
      </c>
      <c r="E62" s="59">
        <f>D62*(1+'Tenure Split (North Wales)'!D$118)</f>
        <v>194801.4280722863</v>
      </c>
      <c r="F62" s="59">
        <f>E62*(1+'Tenure Split (North Wales)'!E$118)</f>
        <v>198994.40804020248</v>
      </c>
      <c r="G62" s="59">
        <f>F62*(1+'Tenure Split (North Wales)'!F$118)</f>
        <v>206755.02449411145</v>
      </c>
      <c r="H62" s="59">
        <f>G62*(1+'Tenure Split (North Wales)'!G$118)</f>
        <v>215331.20717656327</v>
      </c>
      <c r="L62" s="64" t="str">
        <f t="shared" si="0"/>
        <v/>
      </c>
      <c r="M62" s="264"/>
      <c r="N62" s="14">
        <f t="shared" si="3"/>
        <v>1</v>
      </c>
      <c r="T62" s="1">
        <f t="shared" si="1"/>
        <v>68</v>
      </c>
      <c r="U62" s="4" t="str">
        <f t="shared" si="2"/>
        <v/>
      </c>
      <c r="V62" s="4" t="e">
        <f>IF($V$3=$M$3,M62,U62*(1+'Tenure Split (WALES)'!C$118))</f>
        <v>#VALUE!</v>
      </c>
      <c r="W62" s="4" t="e">
        <f>V62*(1+'Tenure Split (WALES)'!D$118)</f>
        <v>#VALUE!</v>
      </c>
      <c r="X62" s="4" t="e">
        <f>W62*(1+'Tenure Split (WALES)'!E$118)</f>
        <v>#VALUE!</v>
      </c>
      <c r="Y62" s="4" t="e">
        <f>X62*(1+'Tenure Split (WALES)'!F$118)</f>
        <v>#VALUE!</v>
      </c>
      <c r="Z62" s="4" t="e">
        <f>Y62*(1+'Tenure Split (WALES)'!G$118)</f>
        <v>#VALUE!</v>
      </c>
      <c r="AB62" s="1">
        <v>68</v>
      </c>
      <c r="AC62" s="4">
        <f>IF('Tenure Split (WALES)'!$D$18="Land Registry Data",'House Prices (North Wales)'!D62,'House Prices (North Wales)'!V62)</f>
        <v>194368.65562039486</v>
      </c>
      <c r="AD62" s="4">
        <f>IF('Tenure Split (WALES)'!$D$18="Land Registry Data",'House Prices (North Wales)'!E62,'House Prices (North Wales)'!W62)</f>
        <v>194801.4280722863</v>
      </c>
      <c r="AE62" s="4">
        <f>IF('Tenure Split (WALES)'!$D$18="Land Registry Data",'House Prices (North Wales)'!F62,'House Prices (North Wales)'!X62)</f>
        <v>198994.40804020248</v>
      </c>
      <c r="AF62" s="4">
        <f>IF('Tenure Split (WALES)'!$D$18="Land Registry Data",'House Prices (North Wales)'!G62,'House Prices (North Wales)'!Y62)</f>
        <v>206755.02449411145</v>
      </c>
      <c r="AG62" s="4">
        <f>IF('Tenure Split (WALES)'!$D$18="Land Registry Data",'House Prices (North Wales)'!H62,'House Prices (North Wales)'!Z62)</f>
        <v>215331.20717656327</v>
      </c>
    </row>
    <row r="63" spans="2:33" x14ac:dyDescent="0.25">
      <c r="B63" s="20">
        <v>69</v>
      </c>
      <c r="C63" s="58">
        <v>190000</v>
      </c>
      <c r="D63" s="59">
        <f>C63*(1+'Tenure Split (North Wales)'!C$118)</f>
        <v>195397.06120568793</v>
      </c>
      <c r="E63" s="59">
        <f>D63*(1+'Tenure Split (North Wales)'!D$118)</f>
        <v>195832.12345891213</v>
      </c>
      <c r="F63" s="59">
        <f>E63*(1+'Tenure Split (North Wales)'!E$118)</f>
        <v>200047.28850602364</v>
      </c>
      <c r="G63" s="59">
        <f>F63*(1+'Tenure Split (North Wales)'!F$118)</f>
        <v>207848.96642265169</v>
      </c>
      <c r="H63" s="59">
        <f>G63*(1+'Tenure Split (North Wales)'!G$118)</f>
        <v>216470.52573305299</v>
      </c>
      <c r="L63" s="64" t="str">
        <f t="shared" si="0"/>
        <v/>
      </c>
      <c r="M63" s="264"/>
      <c r="N63" s="14">
        <f t="shared" si="3"/>
        <v>1</v>
      </c>
      <c r="T63" s="1">
        <f t="shared" si="1"/>
        <v>69</v>
      </c>
      <c r="U63" s="4" t="str">
        <f t="shared" si="2"/>
        <v/>
      </c>
      <c r="V63" s="4" t="e">
        <f>IF($V$3=$M$3,M63,U63*(1+'Tenure Split (WALES)'!C$118))</f>
        <v>#VALUE!</v>
      </c>
      <c r="W63" s="4" t="e">
        <f>V63*(1+'Tenure Split (WALES)'!D$118)</f>
        <v>#VALUE!</v>
      </c>
      <c r="X63" s="4" t="e">
        <f>W63*(1+'Tenure Split (WALES)'!E$118)</f>
        <v>#VALUE!</v>
      </c>
      <c r="Y63" s="4" t="e">
        <f>X63*(1+'Tenure Split (WALES)'!F$118)</f>
        <v>#VALUE!</v>
      </c>
      <c r="Z63" s="4" t="e">
        <f>Y63*(1+'Tenure Split (WALES)'!G$118)</f>
        <v>#VALUE!</v>
      </c>
      <c r="AB63" s="1">
        <v>69</v>
      </c>
      <c r="AC63" s="4">
        <f>IF('Tenure Split (WALES)'!$D$18="Land Registry Data",'House Prices (North Wales)'!D63,'House Prices (North Wales)'!V63)</f>
        <v>195397.06120568793</v>
      </c>
      <c r="AD63" s="4">
        <f>IF('Tenure Split (WALES)'!$D$18="Land Registry Data",'House Prices (North Wales)'!E63,'House Prices (North Wales)'!W63)</f>
        <v>195832.12345891213</v>
      </c>
      <c r="AE63" s="4">
        <f>IF('Tenure Split (WALES)'!$D$18="Land Registry Data",'House Prices (North Wales)'!F63,'House Prices (North Wales)'!X63)</f>
        <v>200047.28850602364</v>
      </c>
      <c r="AF63" s="4">
        <f>IF('Tenure Split (WALES)'!$D$18="Land Registry Data",'House Prices (North Wales)'!G63,'House Prices (North Wales)'!Y63)</f>
        <v>207848.96642265169</v>
      </c>
      <c r="AG63" s="4">
        <f>IF('Tenure Split (WALES)'!$D$18="Land Registry Data",'House Prices (North Wales)'!H63,'House Prices (North Wales)'!Z63)</f>
        <v>216470.52573305299</v>
      </c>
    </row>
    <row r="64" spans="2:33" x14ac:dyDescent="0.25">
      <c r="B64" s="20">
        <v>70</v>
      </c>
      <c r="C64" s="58">
        <v>195000</v>
      </c>
      <c r="D64" s="59">
        <f>C64*(1+'Tenure Split (North Wales)'!C$118)</f>
        <v>200539.08913215343</v>
      </c>
      <c r="E64" s="59">
        <f>D64*(1+'Tenure Split (North Wales)'!D$118)</f>
        <v>200985.60039204144</v>
      </c>
      <c r="F64" s="59">
        <f>E64*(1+'Tenure Split (North Wales)'!E$118)</f>
        <v>205311.69083512956</v>
      </c>
      <c r="G64" s="59">
        <f>F64*(1+'Tenure Split (North Wales)'!F$118)</f>
        <v>213318.67606535309</v>
      </c>
      <c r="H64" s="59">
        <f>G64*(1+'Tenure Split (North Wales)'!G$118)</f>
        <v>222167.11851550182</v>
      </c>
      <c r="L64" s="64" t="str">
        <f t="shared" si="0"/>
        <v/>
      </c>
      <c r="M64" s="264"/>
      <c r="N64" s="14">
        <f t="shared" si="3"/>
        <v>1</v>
      </c>
      <c r="T64" s="1">
        <f t="shared" si="1"/>
        <v>70</v>
      </c>
      <c r="U64" s="4" t="str">
        <f t="shared" si="2"/>
        <v/>
      </c>
      <c r="V64" s="4" t="e">
        <f>IF($V$3=$M$3,M64,U64*(1+'Tenure Split (WALES)'!C$118))</f>
        <v>#VALUE!</v>
      </c>
      <c r="W64" s="4" t="e">
        <f>V64*(1+'Tenure Split (WALES)'!D$118)</f>
        <v>#VALUE!</v>
      </c>
      <c r="X64" s="4" t="e">
        <f>W64*(1+'Tenure Split (WALES)'!E$118)</f>
        <v>#VALUE!</v>
      </c>
      <c r="Y64" s="4" t="e">
        <f>X64*(1+'Tenure Split (WALES)'!F$118)</f>
        <v>#VALUE!</v>
      </c>
      <c r="Z64" s="4" t="e">
        <f>Y64*(1+'Tenure Split (WALES)'!G$118)</f>
        <v>#VALUE!</v>
      </c>
      <c r="AB64" s="1">
        <v>70</v>
      </c>
      <c r="AC64" s="4">
        <f>IF('Tenure Split (WALES)'!$D$18="Land Registry Data",'House Prices (North Wales)'!D64,'House Prices (North Wales)'!V64)</f>
        <v>200539.08913215343</v>
      </c>
      <c r="AD64" s="4">
        <f>IF('Tenure Split (WALES)'!$D$18="Land Registry Data",'House Prices (North Wales)'!E64,'House Prices (North Wales)'!W64)</f>
        <v>200985.60039204144</v>
      </c>
      <c r="AE64" s="4">
        <f>IF('Tenure Split (WALES)'!$D$18="Land Registry Data",'House Prices (North Wales)'!F64,'House Prices (North Wales)'!X64)</f>
        <v>205311.69083512956</v>
      </c>
      <c r="AF64" s="4">
        <f>IF('Tenure Split (WALES)'!$D$18="Land Registry Data",'House Prices (North Wales)'!G64,'House Prices (North Wales)'!Y64)</f>
        <v>213318.67606535309</v>
      </c>
      <c r="AG64" s="4">
        <f>IF('Tenure Split (WALES)'!$D$18="Land Registry Data",'House Prices (North Wales)'!H64,'House Prices (North Wales)'!Z64)</f>
        <v>222167.11851550182</v>
      </c>
    </row>
    <row r="65" spans="2:33" x14ac:dyDescent="0.25">
      <c r="B65" s="20">
        <v>71</v>
      </c>
      <c r="C65" s="58">
        <v>198000</v>
      </c>
      <c r="D65" s="59">
        <f>C65*(1+'Tenure Split (North Wales)'!C$118)</f>
        <v>203624.30588803272</v>
      </c>
      <c r="E65" s="59">
        <f>D65*(1+'Tenure Split (North Wales)'!D$118)</f>
        <v>204077.68655191897</v>
      </c>
      <c r="F65" s="59">
        <f>E65*(1+'Tenure Split (North Wales)'!E$118)</f>
        <v>208470.33223259306</v>
      </c>
      <c r="G65" s="59">
        <f>F65*(1+'Tenure Split (North Wales)'!F$118)</f>
        <v>216600.50185097387</v>
      </c>
      <c r="H65" s="59">
        <f>G65*(1+'Tenure Split (North Wales)'!G$118)</f>
        <v>225585.07418497102</v>
      </c>
      <c r="L65" s="64" t="str">
        <f t="shared" si="0"/>
        <v/>
      </c>
      <c r="M65" s="264"/>
      <c r="N65" s="14">
        <f t="shared" si="3"/>
        <v>1</v>
      </c>
      <c r="T65" s="1">
        <f t="shared" si="1"/>
        <v>71</v>
      </c>
      <c r="U65" s="4" t="str">
        <f t="shared" si="2"/>
        <v/>
      </c>
      <c r="V65" s="4" t="e">
        <f>IF($V$3=$M$3,M65,U65*(1+'Tenure Split (WALES)'!C$118))</f>
        <v>#VALUE!</v>
      </c>
      <c r="W65" s="4" t="e">
        <f>V65*(1+'Tenure Split (WALES)'!D$118)</f>
        <v>#VALUE!</v>
      </c>
      <c r="X65" s="4" t="e">
        <f>W65*(1+'Tenure Split (WALES)'!E$118)</f>
        <v>#VALUE!</v>
      </c>
      <c r="Y65" s="4" t="e">
        <f>X65*(1+'Tenure Split (WALES)'!F$118)</f>
        <v>#VALUE!</v>
      </c>
      <c r="Z65" s="4" t="e">
        <f>Y65*(1+'Tenure Split (WALES)'!G$118)</f>
        <v>#VALUE!</v>
      </c>
      <c r="AB65" s="1">
        <v>71</v>
      </c>
      <c r="AC65" s="4">
        <f>IF('Tenure Split (WALES)'!$D$18="Land Registry Data",'House Prices (North Wales)'!D65,'House Prices (North Wales)'!V65)</f>
        <v>203624.30588803272</v>
      </c>
      <c r="AD65" s="4">
        <f>IF('Tenure Split (WALES)'!$D$18="Land Registry Data",'House Prices (North Wales)'!E65,'House Prices (North Wales)'!W65)</f>
        <v>204077.68655191897</v>
      </c>
      <c r="AE65" s="4">
        <f>IF('Tenure Split (WALES)'!$D$18="Land Registry Data",'House Prices (North Wales)'!F65,'House Prices (North Wales)'!X65)</f>
        <v>208470.33223259306</v>
      </c>
      <c r="AF65" s="4">
        <f>IF('Tenure Split (WALES)'!$D$18="Land Registry Data",'House Prices (North Wales)'!G65,'House Prices (North Wales)'!Y65)</f>
        <v>216600.50185097387</v>
      </c>
      <c r="AG65" s="4">
        <f>IF('Tenure Split (WALES)'!$D$18="Land Registry Data",'House Prices (North Wales)'!H65,'House Prices (North Wales)'!Z65)</f>
        <v>225585.07418497102</v>
      </c>
    </row>
    <row r="66" spans="2:33" x14ac:dyDescent="0.25">
      <c r="B66" s="20">
        <v>72</v>
      </c>
      <c r="C66" s="58">
        <v>200000</v>
      </c>
      <c r="D66" s="59">
        <f>C66*(1+'Tenure Split (North Wales)'!C$118)</f>
        <v>205681.1170586189</v>
      </c>
      <c r="E66" s="59">
        <f>D66*(1+'Tenure Split (North Wales)'!D$118)</f>
        <v>206139.07732517069</v>
      </c>
      <c r="F66" s="59">
        <f>E66*(1+'Tenure Split (North Wales)'!E$118)</f>
        <v>210576.09316423544</v>
      </c>
      <c r="G66" s="59">
        <f>F66*(1+'Tenure Split (North Wales)'!F$118)</f>
        <v>218788.38570805444</v>
      </c>
      <c r="H66" s="59">
        <f>G66*(1+'Tenure Split (North Wales)'!G$118)</f>
        <v>227863.71129795056</v>
      </c>
      <c r="L66" s="64" t="str">
        <f t="shared" si="0"/>
        <v/>
      </c>
      <c r="M66" s="264"/>
      <c r="N66" s="14">
        <f t="shared" si="3"/>
        <v>1</v>
      </c>
      <c r="T66" s="1">
        <f t="shared" si="1"/>
        <v>72</v>
      </c>
      <c r="U66" s="4" t="str">
        <f t="shared" si="2"/>
        <v/>
      </c>
      <c r="V66" s="4" t="e">
        <f>IF($V$3=$M$3,M66,U66*(1+'Tenure Split (WALES)'!C$118))</f>
        <v>#VALUE!</v>
      </c>
      <c r="W66" s="4" t="e">
        <f>V66*(1+'Tenure Split (WALES)'!D$118)</f>
        <v>#VALUE!</v>
      </c>
      <c r="X66" s="4" t="e">
        <f>W66*(1+'Tenure Split (WALES)'!E$118)</f>
        <v>#VALUE!</v>
      </c>
      <c r="Y66" s="4" t="e">
        <f>X66*(1+'Tenure Split (WALES)'!F$118)</f>
        <v>#VALUE!</v>
      </c>
      <c r="Z66" s="4" t="e">
        <f>Y66*(1+'Tenure Split (WALES)'!G$118)</f>
        <v>#VALUE!</v>
      </c>
      <c r="AB66" s="1">
        <v>72</v>
      </c>
      <c r="AC66" s="4">
        <f>IF('Tenure Split (WALES)'!$D$18="Land Registry Data",'House Prices (North Wales)'!D66,'House Prices (North Wales)'!V66)</f>
        <v>205681.1170586189</v>
      </c>
      <c r="AD66" s="4">
        <f>IF('Tenure Split (WALES)'!$D$18="Land Registry Data",'House Prices (North Wales)'!E66,'House Prices (North Wales)'!W66)</f>
        <v>206139.07732517069</v>
      </c>
      <c r="AE66" s="4">
        <f>IF('Tenure Split (WALES)'!$D$18="Land Registry Data",'House Prices (North Wales)'!F66,'House Prices (North Wales)'!X66)</f>
        <v>210576.09316423544</v>
      </c>
      <c r="AF66" s="4">
        <f>IF('Tenure Split (WALES)'!$D$18="Land Registry Data",'House Prices (North Wales)'!G66,'House Prices (North Wales)'!Y66)</f>
        <v>218788.38570805444</v>
      </c>
      <c r="AG66" s="4">
        <f>IF('Tenure Split (WALES)'!$D$18="Land Registry Data",'House Prices (North Wales)'!H66,'House Prices (North Wales)'!Z66)</f>
        <v>227863.71129795056</v>
      </c>
    </row>
    <row r="67" spans="2:33" x14ac:dyDescent="0.25">
      <c r="B67" s="20">
        <v>73</v>
      </c>
      <c r="C67" s="58">
        <v>205000</v>
      </c>
      <c r="D67" s="59">
        <f>C67*(1+'Tenure Split (North Wales)'!C$118)</f>
        <v>210823.14498508436</v>
      </c>
      <c r="E67" s="59">
        <f>D67*(1+'Tenure Split (North Wales)'!D$118)</f>
        <v>211292.55425829993</v>
      </c>
      <c r="F67" s="59">
        <f>E67*(1+'Tenure Split (North Wales)'!E$118)</f>
        <v>215840.4954933413</v>
      </c>
      <c r="G67" s="59">
        <f>F67*(1+'Tenure Split (North Wales)'!F$118)</f>
        <v>224258.09535075579</v>
      </c>
      <c r="H67" s="59">
        <f>G67*(1+'Tenure Split (North Wales)'!G$118)</f>
        <v>233560.30408039931</v>
      </c>
      <c r="L67" s="64" t="str">
        <f t="shared" si="0"/>
        <v/>
      </c>
      <c r="M67" s="264"/>
      <c r="N67" s="14">
        <f t="shared" si="3"/>
        <v>1</v>
      </c>
      <c r="T67" s="1">
        <f t="shared" si="1"/>
        <v>73</v>
      </c>
      <c r="U67" s="4" t="str">
        <f t="shared" si="2"/>
        <v/>
      </c>
      <c r="V67" s="4" t="e">
        <f>IF($V$3=$M$3,M67,U67*(1+'Tenure Split (WALES)'!C$118))</f>
        <v>#VALUE!</v>
      </c>
      <c r="W67" s="4" t="e">
        <f>V67*(1+'Tenure Split (WALES)'!D$118)</f>
        <v>#VALUE!</v>
      </c>
      <c r="X67" s="4" t="e">
        <f>W67*(1+'Tenure Split (WALES)'!E$118)</f>
        <v>#VALUE!</v>
      </c>
      <c r="Y67" s="4" t="e">
        <f>X67*(1+'Tenure Split (WALES)'!F$118)</f>
        <v>#VALUE!</v>
      </c>
      <c r="Z67" s="4" t="e">
        <f>Y67*(1+'Tenure Split (WALES)'!G$118)</f>
        <v>#VALUE!</v>
      </c>
      <c r="AB67" s="1">
        <v>73</v>
      </c>
      <c r="AC67" s="4">
        <f>IF('Tenure Split (WALES)'!$D$18="Land Registry Data",'House Prices (North Wales)'!D67,'House Prices (North Wales)'!V67)</f>
        <v>210823.14498508436</v>
      </c>
      <c r="AD67" s="4">
        <f>IF('Tenure Split (WALES)'!$D$18="Land Registry Data",'House Prices (North Wales)'!E67,'House Prices (North Wales)'!W67)</f>
        <v>211292.55425829993</v>
      </c>
      <c r="AE67" s="4">
        <f>IF('Tenure Split (WALES)'!$D$18="Land Registry Data",'House Prices (North Wales)'!F67,'House Prices (North Wales)'!X67)</f>
        <v>215840.4954933413</v>
      </c>
      <c r="AF67" s="4">
        <f>IF('Tenure Split (WALES)'!$D$18="Land Registry Data",'House Prices (North Wales)'!G67,'House Prices (North Wales)'!Y67)</f>
        <v>224258.09535075579</v>
      </c>
      <c r="AG67" s="4">
        <f>IF('Tenure Split (WALES)'!$D$18="Land Registry Data",'House Prices (North Wales)'!H67,'House Prices (North Wales)'!Z67)</f>
        <v>233560.30408039931</v>
      </c>
    </row>
    <row r="68" spans="2:33" x14ac:dyDescent="0.25">
      <c r="B68" s="20">
        <v>74</v>
      </c>
      <c r="C68" s="58">
        <v>208000</v>
      </c>
      <c r="D68" s="59">
        <f>C68*(1+'Tenure Split (North Wales)'!C$118)</f>
        <v>213908.36174096365</v>
      </c>
      <c r="E68" s="59">
        <f>D68*(1+'Tenure Split (North Wales)'!D$118)</f>
        <v>214384.6404181775</v>
      </c>
      <c r="F68" s="59">
        <f>E68*(1+'Tenure Split (North Wales)'!E$118)</f>
        <v>218999.13689080483</v>
      </c>
      <c r="G68" s="59">
        <f>F68*(1+'Tenure Split (North Wales)'!F$118)</f>
        <v>227539.92113637659</v>
      </c>
      <c r="H68" s="59">
        <f>G68*(1+'Tenure Split (North Wales)'!G$118)</f>
        <v>236978.25974986856</v>
      </c>
      <c r="L68" s="64" t="str">
        <f t="shared" ref="L68:L84" si="4">IF(ISBLANK($K$4),"",B68)</f>
        <v/>
      </c>
      <c r="M68" s="264"/>
      <c r="N68" s="14">
        <f t="shared" si="3"/>
        <v>1</v>
      </c>
      <c r="T68" s="1">
        <f t="shared" ref="T68:T84" si="5">B68</f>
        <v>74</v>
      </c>
      <c r="U68" s="4" t="str">
        <f t="shared" ref="U68:U84" si="6">IF($M$3=$U$3,M68,"")</f>
        <v/>
      </c>
      <c r="V68" s="4" t="e">
        <f>IF($V$3=$M$3,M68,U68*(1+'Tenure Split (WALES)'!C$118))</f>
        <v>#VALUE!</v>
      </c>
      <c r="W68" s="4" t="e">
        <f>V68*(1+'Tenure Split (WALES)'!D$118)</f>
        <v>#VALUE!</v>
      </c>
      <c r="X68" s="4" t="e">
        <f>W68*(1+'Tenure Split (WALES)'!E$118)</f>
        <v>#VALUE!</v>
      </c>
      <c r="Y68" s="4" t="e">
        <f>X68*(1+'Tenure Split (WALES)'!F$118)</f>
        <v>#VALUE!</v>
      </c>
      <c r="Z68" s="4" t="e">
        <f>Y68*(1+'Tenure Split (WALES)'!G$118)</f>
        <v>#VALUE!</v>
      </c>
      <c r="AB68" s="1">
        <v>74</v>
      </c>
      <c r="AC68" s="4">
        <f>IF('Tenure Split (WALES)'!$D$18="Land Registry Data",'House Prices (North Wales)'!D68,'House Prices (North Wales)'!V68)</f>
        <v>213908.36174096365</v>
      </c>
      <c r="AD68" s="4">
        <f>IF('Tenure Split (WALES)'!$D$18="Land Registry Data",'House Prices (North Wales)'!E68,'House Prices (North Wales)'!W68)</f>
        <v>214384.6404181775</v>
      </c>
      <c r="AE68" s="4">
        <f>IF('Tenure Split (WALES)'!$D$18="Land Registry Data",'House Prices (North Wales)'!F68,'House Prices (North Wales)'!X68)</f>
        <v>218999.13689080483</v>
      </c>
      <c r="AF68" s="4">
        <f>IF('Tenure Split (WALES)'!$D$18="Land Registry Data",'House Prices (North Wales)'!G68,'House Prices (North Wales)'!Y68)</f>
        <v>227539.92113637659</v>
      </c>
      <c r="AG68" s="4">
        <f>IF('Tenure Split (WALES)'!$D$18="Land Registry Data",'House Prices (North Wales)'!H68,'House Prices (North Wales)'!Z68)</f>
        <v>236978.25974986856</v>
      </c>
    </row>
    <row r="69" spans="2:33" x14ac:dyDescent="0.25">
      <c r="B69" s="20">
        <v>75</v>
      </c>
      <c r="C69" s="58">
        <v>211495</v>
      </c>
      <c r="D69" s="59">
        <f>C69*(1+'Tenure Split (North Wales)'!C$118)</f>
        <v>217502.63926156302</v>
      </c>
      <c r="E69" s="59">
        <f>D69*(1+'Tenure Split (North Wales)'!D$118)</f>
        <v>217986.92079443487</v>
      </c>
      <c r="F69" s="59">
        <f>E69*(1+'Tenure Split (North Wales)'!E$118)</f>
        <v>222678.95411884988</v>
      </c>
      <c r="G69" s="59">
        <f>F69*(1+'Tenure Split (North Wales)'!F$118)</f>
        <v>231363.24817662488</v>
      </c>
      <c r="H69" s="59">
        <f>G69*(1+'Tenure Split (North Wales)'!G$118)</f>
        <v>240960.17810480029</v>
      </c>
      <c r="L69" s="64" t="str">
        <f t="shared" si="4"/>
        <v/>
      </c>
      <c r="M69" s="264"/>
      <c r="N69" s="14">
        <f t="shared" ref="N69:N84" si="7">IF(ISBLANK(M69),1,0)</f>
        <v>1</v>
      </c>
      <c r="T69" s="1">
        <f t="shared" si="5"/>
        <v>75</v>
      </c>
      <c r="U69" s="4" t="str">
        <f t="shared" si="6"/>
        <v/>
      </c>
      <c r="V69" s="4" t="e">
        <f>IF($V$3=$M$3,M69,U69*(1+'Tenure Split (WALES)'!C$118))</f>
        <v>#VALUE!</v>
      </c>
      <c r="W69" s="4" t="e">
        <f>V69*(1+'Tenure Split (WALES)'!D$118)</f>
        <v>#VALUE!</v>
      </c>
      <c r="X69" s="4" t="e">
        <f>W69*(1+'Tenure Split (WALES)'!E$118)</f>
        <v>#VALUE!</v>
      </c>
      <c r="Y69" s="4" t="e">
        <f>X69*(1+'Tenure Split (WALES)'!F$118)</f>
        <v>#VALUE!</v>
      </c>
      <c r="Z69" s="4" t="e">
        <f>Y69*(1+'Tenure Split (WALES)'!G$118)</f>
        <v>#VALUE!</v>
      </c>
      <c r="AB69" s="1">
        <v>75</v>
      </c>
      <c r="AC69" s="4">
        <f>IF('Tenure Split (WALES)'!$D$18="Land Registry Data",'House Prices (North Wales)'!D69,'House Prices (North Wales)'!V69)</f>
        <v>217502.63926156302</v>
      </c>
      <c r="AD69" s="4">
        <f>IF('Tenure Split (WALES)'!$D$18="Land Registry Data",'House Prices (North Wales)'!E69,'House Prices (North Wales)'!W69)</f>
        <v>217986.92079443487</v>
      </c>
      <c r="AE69" s="4">
        <f>IF('Tenure Split (WALES)'!$D$18="Land Registry Data",'House Prices (North Wales)'!F69,'House Prices (North Wales)'!X69)</f>
        <v>222678.95411884988</v>
      </c>
      <c r="AF69" s="4">
        <f>IF('Tenure Split (WALES)'!$D$18="Land Registry Data",'House Prices (North Wales)'!G69,'House Prices (North Wales)'!Y69)</f>
        <v>231363.24817662488</v>
      </c>
      <c r="AG69" s="4">
        <f>IF('Tenure Split (WALES)'!$D$18="Land Registry Data",'House Prices (North Wales)'!H69,'House Prices (North Wales)'!Z69)</f>
        <v>240960.17810480029</v>
      </c>
    </row>
    <row r="70" spans="2:33" x14ac:dyDescent="0.25">
      <c r="B70" s="20">
        <v>76</v>
      </c>
      <c r="C70" s="58">
        <v>215950</v>
      </c>
      <c r="D70" s="59">
        <f>C70*(1+'Tenure Split (North Wales)'!C$118)</f>
        <v>222084.18614404375</v>
      </c>
      <c r="E70" s="59">
        <f>D70*(1+'Tenure Split (North Wales)'!D$118)</f>
        <v>222578.66874185303</v>
      </c>
      <c r="F70" s="59">
        <f>E70*(1+'Tenure Split (North Wales)'!E$118)</f>
        <v>227369.53659408321</v>
      </c>
      <c r="G70" s="59">
        <f>F70*(1+'Tenure Split (North Wales)'!F$118)</f>
        <v>236236.75946827178</v>
      </c>
      <c r="H70" s="59">
        <f>G70*(1+'Tenure Split (North Wales)'!G$118)</f>
        <v>246035.8422739621</v>
      </c>
      <c r="L70" s="64" t="str">
        <f t="shared" si="4"/>
        <v/>
      </c>
      <c r="M70" s="264"/>
      <c r="N70" s="14">
        <f t="shared" si="7"/>
        <v>1</v>
      </c>
      <c r="T70" s="1">
        <f t="shared" si="5"/>
        <v>76</v>
      </c>
      <c r="U70" s="4" t="str">
        <f t="shared" si="6"/>
        <v/>
      </c>
      <c r="V70" s="4" t="e">
        <f>IF($V$3=$M$3,M70,U70*(1+'Tenure Split (WALES)'!C$118))</f>
        <v>#VALUE!</v>
      </c>
      <c r="W70" s="4" t="e">
        <f>V70*(1+'Tenure Split (WALES)'!D$118)</f>
        <v>#VALUE!</v>
      </c>
      <c r="X70" s="4" t="e">
        <f>W70*(1+'Tenure Split (WALES)'!E$118)</f>
        <v>#VALUE!</v>
      </c>
      <c r="Y70" s="4" t="e">
        <f>X70*(1+'Tenure Split (WALES)'!F$118)</f>
        <v>#VALUE!</v>
      </c>
      <c r="Z70" s="4" t="e">
        <f>Y70*(1+'Tenure Split (WALES)'!G$118)</f>
        <v>#VALUE!</v>
      </c>
      <c r="AB70" s="1">
        <v>76</v>
      </c>
      <c r="AC70" s="4">
        <f>IF('Tenure Split (WALES)'!$D$18="Land Registry Data",'House Prices (North Wales)'!D70,'House Prices (North Wales)'!V70)</f>
        <v>222084.18614404375</v>
      </c>
      <c r="AD70" s="4">
        <f>IF('Tenure Split (WALES)'!$D$18="Land Registry Data",'House Prices (North Wales)'!E70,'House Prices (North Wales)'!W70)</f>
        <v>222578.66874185303</v>
      </c>
      <c r="AE70" s="4">
        <f>IF('Tenure Split (WALES)'!$D$18="Land Registry Data",'House Prices (North Wales)'!F70,'House Prices (North Wales)'!X70)</f>
        <v>227369.53659408321</v>
      </c>
      <c r="AF70" s="4">
        <f>IF('Tenure Split (WALES)'!$D$18="Land Registry Data",'House Prices (North Wales)'!G70,'House Prices (North Wales)'!Y70)</f>
        <v>236236.75946827178</v>
      </c>
      <c r="AG70" s="4">
        <f>IF('Tenure Split (WALES)'!$D$18="Land Registry Data",'House Prices (North Wales)'!H70,'House Prices (North Wales)'!Z70)</f>
        <v>246035.8422739621</v>
      </c>
    </row>
    <row r="71" spans="2:33" x14ac:dyDescent="0.25">
      <c r="B71" s="20">
        <v>77</v>
      </c>
      <c r="C71" s="58">
        <v>220000</v>
      </c>
      <c r="D71" s="59">
        <f>C71*(1+'Tenure Split (North Wales)'!C$118)</f>
        <v>226249.22876448077</v>
      </c>
      <c r="E71" s="59">
        <f>D71*(1+'Tenure Split (North Wales)'!D$118)</f>
        <v>226752.98505768774</v>
      </c>
      <c r="F71" s="59">
        <f>E71*(1+'Tenure Split (North Wales)'!E$118)</f>
        <v>231633.70248065895</v>
      </c>
      <c r="G71" s="59">
        <f>F71*(1+'Tenure Split (North Wales)'!F$118)</f>
        <v>240667.22427885985</v>
      </c>
      <c r="H71" s="59">
        <f>G71*(1+'Tenure Split (North Wales)'!G$118)</f>
        <v>250650.08242774557</v>
      </c>
      <c r="L71" s="64" t="str">
        <f t="shared" si="4"/>
        <v/>
      </c>
      <c r="M71" s="264"/>
      <c r="N71" s="14">
        <f t="shared" si="7"/>
        <v>1</v>
      </c>
      <c r="T71" s="1">
        <f t="shared" si="5"/>
        <v>77</v>
      </c>
      <c r="U71" s="4" t="str">
        <f t="shared" si="6"/>
        <v/>
      </c>
      <c r="V71" s="4" t="e">
        <f>IF($V$3=$M$3,M71,U71*(1+'Tenure Split (WALES)'!C$118))</f>
        <v>#VALUE!</v>
      </c>
      <c r="W71" s="4" t="e">
        <f>V71*(1+'Tenure Split (WALES)'!D$118)</f>
        <v>#VALUE!</v>
      </c>
      <c r="X71" s="4" t="e">
        <f>W71*(1+'Tenure Split (WALES)'!E$118)</f>
        <v>#VALUE!</v>
      </c>
      <c r="Y71" s="4" t="e">
        <f>X71*(1+'Tenure Split (WALES)'!F$118)</f>
        <v>#VALUE!</v>
      </c>
      <c r="Z71" s="4" t="e">
        <f>Y71*(1+'Tenure Split (WALES)'!G$118)</f>
        <v>#VALUE!</v>
      </c>
      <c r="AB71" s="1">
        <v>77</v>
      </c>
      <c r="AC71" s="4">
        <f>IF('Tenure Split (WALES)'!$D$18="Land Registry Data",'House Prices (North Wales)'!D71,'House Prices (North Wales)'!V71)</f>
        <v>226249.22876448077</v>
      </c>
      <c r="AD71" s="4">
        <f>IF('Tenure Split (WALES)'!$D$18="Land Registry Data",'House Prices (North Wales)'!E71,'House Prices (North Wales)'!W71)</f>
        <v>226752.98505768774</v>
      </c>
      <c r="AE71" s="4">
        <f>IF('Tenure Split (WALES)'!$D$18="Land Registry Data",'House Prices (North Wales)'!F71,'House Prices (North Wales)'!X71)</f>
        <v>231633.70248065895</v>
      </c>
      <c r="AF71" s="4">
        <f>IF('Tenure Split (WALES)'!$D$18="Land Registry Data",'House Prices (North Wales)'!G71,'House Prices (North Wales)'!Y71)</f>
        <v>240667.22427885985</v>
      </c>
      <c r="AG71" s="4">
        <f>IF('Tenure Split (WALES)'!$D$18="Land Registry Data",'House Prices (North Wales)'!H71,'House Prices (North Wales)'!Z71)</f>
        <v>250650.08242774557</v>
      </c>
    </row>
    <row r="72" spans="2:33" x14ac:dyDescent="0.25">
      <c r="B72" s="20">
        <v>78</v>
      </c>
      <c r="C72" s="58">
        <v>224950</v>
      </c>
      <c r="D72" s="59">
        <f>C72*(1+'Tenure Split (North Wales)'!C$118)</f>
        <v>231339.83641168161</v>
      </c>
      <c r="E72" s="59">
        <f>D72*(1+'Tenure Split (North Wales)'!D$118)</f>
        <v>231854.92722148573</v>
      </c>
      <c r="F72" s="59">
        <f>E72*(1+'Tenure Split (North Wales)'!E$118)</f>
        <v>236845.46078647382</v>
      </c>
      <c r="G72" s="59">
        <f>F72*(1+'Tenure Split (North Wales)'!F$118)</f>
        <v>246082.23682513426</v>
      </c>
      <c r="H72" s="59">
        <f>G72*(1+'Tenure Split (North Wales)'!G$118)</f>
        <v>256289.70928236991</v>
      </c>
      <c r="L72" s="64" t="str">
        <f t="shared" si="4"/>
        <v/>
      </c>
      <c r="M72" s="264"/>
      <c r="N72" s="14">
        <f t="shared" si="7"/>
        <v>1</v>
      </c>
      <c r="T72" s="1">
        <f t="shared" si="5"/>
        <v>78</v>
      </c>
      <c r="U72" s="4" t="str">
        <f t="shared" si="6"/>
        <v/>
      </c>
      <c r="V72" s="4" t="e">
        <f>IF($V$3=$M$3,M72,U72*(1+'Tenure Split (WALES)'!C$118))</f>
        <v>#VALUE!</v>
      </c>
      <c r="W72" s="4" t="e">
        <f>V72*(1+'Tenure Split (WALES)'!D$118)</f>
        <v>#VALUE!</v>
      </c>
      <c r="X72" s="4" t="e">
        <f>W72*(1+'Tenure Split (WALES)'!E$118)</f>
        <v>#VALUE!</v>
      </c>
      <c r="Y72" s="4" t="e">
        <f>X72*(1+'Tenure Split (WALES)'!F$118)</f>
        <v>#VALUE!</v>
      </c>
      <c r="Z72" s="4" t="e">
        <f>Y72*(1+'Tenure Split (WALES)'!G$118)</f>
        <v>#VALUE!</v>
      </c>
      <c r="AB72" s="1">
        <v>78</v>
      </c>
      <c r="AC72" s="4">
        <f>IF('Tenure Split (WALES)'!$D$18="Land Registry Data",'House Prices (North Wales)'!D72,'House Prices (North Wales)'!V72)</f>
        <v>231339.83641168161</v>
      </c>
      <c r="AD72" s="4">
        <f>IF('Tenure Split (WALES)'!$D$18="Land Registry Data",'House Prices (North Wales)'!E72,'House Prices (North Wales)'!W72)</f>
        <v>231854.92722148573</v>
      </c>
      <c r="AE72" s="4">
        <f>IF('Tenure Split (WALES)'!$D$18="Land Registry Data",'House Prices (North Wales)'!F72,'House Prices (North Wales)'!X72)</f>
        <v>236845.46078647382</v>
      </c>
      <c r="AF72" s="4">
        <f>IF('Tenure Split (WALES)'!$D$18="Land Registry Data",'House Prices (North Wales)'!G72,'House Prices (North Wales)'!Y72)</f>
        <v>246082.23682513426</v>
      </c>
      <c r="AG72" s="4">
        <f>IF('Tenure Split (WALES)'!$D$18="Land Registry Data",'House Prices (North Wales)'!H72,'House Prices (North Wales)'!Z72)</f>
        <v>256289.70928236991</v>
      </c>
    </row>
    <row r="73" spans="2:33" x14ac:dyDescent="0.25">
      <c r="B73" s="20">
        <v>79</v>
      </c>
      <c r="C73" s="58">
        <v>229950</v>
      </c>
      <c r="D73" s="59">
        <f>C73*(1+'Tenure Split (North Wales)'!C$118)</f>
        <v>236481.86433814708</v>
      </c>
      <c r="E73" s="59">
        <f>D73*(1+'Tenure Split (North Wales)'!D$118)</f>
        <v>237008.40415461498</v>
      </c>
      <c r="F73" s="59">
        <f>E73*(1+'Tenure Split (North Wales)'!E$118)</f>
        <v>242109.86311557968</v>
      </c>
      <c r="G73" s="59">
        <f>F73*(1+'Tenure Split (North Wales)'!F$118)</f>
        <v>251551.94646783557</v>
      </c>
      <c r="H73" s="59">
        <f>G73*(1+'Tenure Split (North Wales)'!G$118)</f>
        <v>261986.30206481862</v>
      </c>
      <c r="L73" s="64" t="str">
        <f t="shared" si="4"/>
        <v/>
      </c>
      <c r="M73" s="264"/>
      <c r="N73" s="14">
        <f t="shared" si="7"/>
        <v>1</v>
      </c>
      <c r="T73" s="1">
        <f t="shared" si="5"/>
        <v>79</v>
      </c>
      <c r="U73" s="4" t="str">
        <f t="shared" si="6"/>
        <v/>
      </c>
      <c r="V73" s="4" t="e">
        <f>IF($V$3=$M$3,M73,U73*(1+'Tenure Split (WALES)'!C$118))</f>
        <v>#VALUE!</v>
      </c>
      <c r="W73" s="4" t="e">
        <f>V73*(1+'Tenure Split (WALES)'!D$118)</f>
        <v>#VALUE!</v>
      </c>
      <c r="X73" s="4" t="e">
        <f>W73*(1+'Tenure Split (WALES)'!E$118)</f>
        <v>#VALUE!</v>
      </c>
      <c r="Y73" s="4" t="e">
        <f>X73*(1+'Tenure Split (WALES)'!F$118)</f>
        <v>#VALUE!</v>
      </c>
      <c r="Z73" s="4" t="e">
        <f>Y73*(1+'Tenure Split (WALES)'!G$118)</f>
        <v>#VALUE!</v>
      </c>
      <c r="AB73" s="1">
        <v>79</v>
      </c>
      <c r="AC73" s="4">
        <f>IF('Tenure Split (WALES)'!$D$18="Land Registry Data",'House Prices (North Wales)'!D73,'House Prices (North Wales)'!V73)</f>
        <v>236481.86433814708</v>
      </c>
      <c r="AD73" s="4">
        <f>IF('Tenure Split (WALES)'!$D$18="Land Registry Data",'House Prices (North Wales)'!E73,'House Prices (North Wales)'!W73)</f>
        <v>237008.40415461498</v>
      </c>
      <c r="AE73" s="4">
        <f>IF('Tenure Split (WALES)'!$D$18="Land Registry Data",'House Prices (North Wales)'!F73,'House Prices (North Wales)'!X73)</f>
        <v>242109.86311557968</v>
      </c>
      <c r="AF73" s="4">
        <f>IF('Tenure Split (WALES)'!$D$18="Land Registry Data",'House Prices (North Wales)'!G73,'House Prices (North Wales)'!Y73)</f>
        <v>251551.94646783557</v>
      </c>
      <c r="AG73" s="4">
        <f>IF('Tenure Split (WALES)'!$D$18="Land Registry Data",'House Prices (North Wales)'!H73,'House Prices (North Wales)'!Z73)</f>
        <v>261986.30206481862</v>
      </c>
    </row>
    <row r="74" spans="2:33" x14ac:dyDescent="0.25">
      <c r="B74" s="20">
        <v>80</v>
      </c>
      <c r="C74" s="58">
        <v>232000</v>
      </c>
      <c r="D74" s="59">
        <f>C74*(1+'Tenure Split (North Wales)'!C$118)</f>
        <v>238590.09578799791</v>
      </c>
      <c r="E74" s="59">
        <f>D74*(1+'Tenure Split (North Wales)'!D$118)</f>
        <v>239121.32969719797</v>
      </c>
      <c r="F74" s="59">
        <f>E74*(1+'Tenure Split (North Wales)'!E$118)</f>
        <v>244268.26807051309</v>
      </c>
      <c r="G74" s="59">
        <f>F74*(1+'Tenure Split (North Wales)'!F$118)</f>
        <v>253794.52742134314</v>
      </c>
      <c r="H74" s="59">
        <f>G74*(1+'Tenure Split (North Wales)'!G$118)</f>
        <v>264321.90510562266</v>
      </c>
      <c r="L74" s="64" t="str">
        <f t="shared" si="4"/>
        <v/>
      </c>
      <c r="M74" s="264"/>
      <c r="N74" s="14">
        <f t="shared" si="7"/>
        <v>1</v>
      </c>
      <c r="T74" s="1">
        <f t="shared" si="5"/>
        <v>80</v>
      </c>
      <c r="U74" s="4" t="str">
        <f t="shared" si="6"/>
        <v/>
      </c>
      <c r="V74" s="4" t="e">
        <f>IF($V$3=$M$3,M74,U74*(1+'Tenure Split (WALES)'!C$118))</f>
        <v>#VALUE!</v>
      </c>
      <c r="W74" s="4" t="e">
        <f>V74*(1+'Tenure Split (WALES)'!D$118)</f>
        <v>#VALUE!</v>
      </c>
      <c r="X74" s="4" t="e">
        <f>W74*(1+'Tenure Split (WALES)'!E$118)</f>
        <v>#VALUE!</v>
      </c>
      <c r="Y74" s="4" t="e">
        <f>X74*(1+'Tenure Split (WALES)'!F$118)</f>
        <v>#VALUE!</v>
      </c>
      <c r="Z74" s="4" t="e">
        <f>Y74*(1+'Tenure Split (WALES)'!G$118)</f>
        <v>#VALUE!</v>
      </c>
      <c r="AB74" s="1">
        <v>80</v>
      </c>
      <c r="AC74" s="4">
        <f>IF('Tenure Split (WALES)'!$D$18="Land Registry Data",'House Prices (North Wales)'!D74,'House Prices (North Wales)'!V74)</f>
        <v>238590.09578799791</v>
      </c>
      <c r="AD74" s="4">
        <f>IF('Tenure Split (WALES)'!$D$18="Land Registry Data",'House Prices (North Wales)'!E74,'House Prices (North Wales)'!W74)</f>
        <v>239121.32969719797</v>
      </c>
      <c r="AE74" s="4">
        <f>IF('Tenure Split (WALES)'!$D$18="Land Registry Data",'House Prices (North Wales)'!F74,'House Prices (North Wales)'!X74)</f>
        <v>244268.26807051309</v>
      </c>
      <c r="AF74" s="4">
        <f>IF('Tenure Split (WALES)'!$D$18="Land Registry Data",'House Prices (North Wales)'!G74,'House Prices (North Wales)'!Y74)</f>
        <v>253794.52742134314</v>
      </c>
      <c r="AG74" s="4">
        <f>IF('Tenure Split (WALES)'!$D$18="Land Registry Data",'House Prices (North Wales)'!H74,'House Prices (North Wales)'!Z74)</f>
        <v>264321.90510562266</v>
      </c>
    </row>
    <row r="75" spans="2:33" x14ac:dyDescent="0.25">
      <c r="B75" s="20">
        <v>81</v>
      </c>
      <c r="C75" s="58">
        <v>237000</v>
      </c>
      <c r="D75" s="59">
        <f>C75*(1+'Tenure Split (North Wales)'!C$118)</f>
        <v>243732.12371446338</v>
      </c>
      <c r="E75" s="59">
        <f>D75*(1+'Tenure Split (North Wales)'!D$118)</f>
        <v>244274.80663032725</v>
      </c>
      <c r="F75" s="59">
        <f>E75*(1+'Tenure Split (North Wales)'!E$118)</f>
        <v>249532.67039961898</v>
      </c>
      <c r="G75" s="59">
        <f>F75*(1+'Tenure Split (North Wales)'!F$118)</f>
        <v>259264.23706404452</v>
      </c>
      <c r="H75" s="59">
        <f>G75*(1+'Tenure Split (North Wales)'!G$118)</f>
        <v>270018.4978880714</v>
      </c>
      <c r="L75" s="64" t="str">
        <f t="shared" si="4"/>
        <v/>
      </c>
      <c r="M75" s="264"/>
      <c r="N75" s="14">
        <f t="shared" si="7"/>
        <v>1</v>
      </c>
      <c r="T75" s="1">
        <f t="shared" si="5"/>
        <v>81</v>
      </c>
      <c r="U75" s="4" t="str">
        <f t="shared" si="6"/>
        <v/>
      </c>
      <c r="V75" s="4" t="e">
        <f>IF($V$3=$M$3,M75,U75*(1+'Tenure Split (WALES)'!C$118))</f>
        <v>#VALUE!</v>
      </c>
      <c r="W75" s="4" t="e">
        <f>V75*(1+'Tenure Split (WALES)'!D$118)</f>
        <v>#VALUE!</v>
      </c>
      <c r="X75" s="4" t="e">
        <f>W75*(1+'Tenure Split (WALES)'!E$118)</f>
        <v>#VALUE!</v>
      </c>
      <c r="Y75" s="4" t="e">
        <f>X75*(1+'Tenure Split (WALES)'!F$118)</f>
        <v>#VALUE!</v>
      </c>
      <c r="Z75" s="4" t="e">
        <f>Y75*(1+'Tenure Split (WALES)'!G$118)</f>
        <v>#VALUE!</v>
      </c>
      <c r="AB75" s="1">
        <v>81</v>
      </c>
      <c r="AC75" s="4">
        <f>IF('Tenure Split (WALES)'!$D$18="Land Registry Data",'House Prices (North Wales)'!D75,'House Prices (North Wales)'!V75)</f>
        <v>243732.12371446338</v>
      </c>
      <c r="AD75" s="4">
        <f>IF('Tenure Split (WALES)'!$D$18="Land Registry Data",'House Prices (North Wales)'!E75,'House Prices (North Wales)'!W75)</f>
        <v>244274.80663032725</v>
      </c>
      <c r="AE75" s="4">
        <f>IF('Tenure Split (WALES)'!$D$18="Land Registry Data",'House Prices (North Wales)'!F75,'House Prices (North Wales)'!X75)</f>
        <v>249532.67039961898</v>
      </c>
      <c r="AF75" s="4">
        <f>IF('Tenure Split (WALES)'!$D$18="Land Registry Data",'House Prices (North Wales)'!G75,'House Prices (North Wales)'!Y75)</f>
        <v>259264.23706404452</v>
      </c>
      <c r="AG75" s="4">
        <f>IF('Tenure Split (WALES)'!$D$18="Land Registry Data",'House Prices (North Wales)'!H75,'House Prices (North Wales)'!Z75)</f>
        <v>270018.4978880714</v>
      </c>
    </row>
    <row r="76" spans="2:33" x14ac:dyDescent="0.25">
      <c r="B76" s="20">
        <v>82</v>
      </c>
      <c r="C76" s="58">
        <v>240672.79999999984</v>
      </c>
      <c r="D76" s="59">
        <f>C76*(1+'Tenure Split (North Wales)'!C$118)</f>
        <v>247509.25174812769</v>
      </c>
      <c r="E76" s="59">
        <f>D76*(1+'Tenure Split (North Wales)'!D$118)</f>
        <v>248060.34464632653</v>
      </c>
      <c r="F76" s="59">
        <f>E76*(1+'Tenure Split (North Wales)'!E$118)</f>
        <v>253399.68977448685</v>
      </c>
      <c r="G76" s="59">
        <f>F76*(1+'Tenure Split (North Wales)'!F$118)</f>
        <v>263282.06697918708</v>
      </c>
      <c r="H76" s="59">
        <f>G76*(1+'Tenure Split (North Wales)'!G$118)</f>
        <v>274202.98708234681</v>
      </c>
      <c r="L76" s="64" t="str">
        <f t="shared" si="4"/>
        <v/>
      </c>
      <c r="M76" s="264"/>
      <c r="N76" s="14">
        <f t="shared" si="7"/>
        <v>1</v>
      </c>
      <c r="T76" s="1">
        <f t="shared" si="5"/>
        <v>82</v>
      </c>
      <c r="U76" s="4" t="str">
        <f t="shared" si="6"/>
        <v/>
      </c>
      <c r="V76" s="4" t="e">
        <f>IF($V$3=$M$3,M76,U76*(1+'Tenure Split (WALES)'!C$118))</f>
        <v>#VALUE!</v>
      </c>
      <c r="W76" s="4" t="e">
        <f>V76*(1+'Tenure Split (WALES)'!D$118)</f>
        <v>#VALUE!</v>
      </c>
      <c r="X76" s="4" t="e">
        <f>W76*(1+'Tenure Split (WALES)'!E$118)</f>
        <v>#VALUE!</v>
      </c>
      <c r="Y76" s="4" t="e">
        <f>X76*(1+'Tenure Split (WALES)'!F$118)</f>
        <v>#VALUE!</v>
      </c>
      <c r="Z76" s="4" t="e">
        <f>Y76*(1+'Tenure Split (WALES)'!G$118)</f>
        <v>#VALUE!</v>
      </c>
      <c r="AB76" s="1">
        <v>82</v>
      </c>
      <c r="AC76" s="4">
        <f>IF('Tenure Split (WALES)'!$D$18="Land Registry Data",'House Prices (North Wales)'!D76,'House Prices (North Wales)'!V76)</f>
        <v>247509.25174812769</v>
      </c>
      <c r="AD76" s="4">
        <f>IF('Tenure Split (WALES)'!$D$18="Land Registry Data",'House Prices (North Wales)'!E76,'House Prices (North Wales)'!W76)</f>
        <v>248060.34464632653</v>
      </c>
      <c r="AE76" s="4">
        <f>IF('Tenure Split (WALES)'!$D$18="Land Registry Data",'House Prices (North Wales)'!F76,'House Prices (North Wales)'!X76)</f>
        <v>253399.68977448685</v>
      </c>
      <c r="AF76" s="4">
        <f>IF('Tenure Split (WALES)'!$D$18="Land Registry Data",'House Prices (North Wales)'!G76,'House Prices (North Wales)'!Y76)</f>
        <v>263282.06697918708</v>
      </c>
      <c r="AG76" s="4">
        <f>IF('Tenure Split (WALES)'!$D$18="Land Registry Data",'House Prices (North Wales)'!H76,'House Prices (North Wales)'!Z76)</f>
        <v>274202.98708234681</v>
      </c>
    </row>
    <row r="77" spans="2:33" x14ac:dyDescent="0.25">
      <c r="B77" s="20">
        <v>83</v>
      </c>
      <c r="C77" s="58">
        <v>246000</v>
      </c>
      <c r="D77" s="59">
        <f>C77*(1+'Tenure Split (North Wales)'!C$118)</f>
        <v>252987.77398210124</v>
      </c>
      <c r="E77" s="59">
        <f>D77*(1+'Tenure Split (North Wales)'!D$118)</f>
        <v>253551.06510995995</v>
      </c>
      <c r="F77" s="59">
        <f>E77*(1+'Tenure Split (North Wales)'!E$118)</f>
        <v>259008.59459200958</v>
      </c>
      <c r="G77" s="59">
        <f>F77*(1+'Tenure Split (North Wales)'!F$118)</f>
        <v>269109.71442090697</v>
      </c>
      <c r="H77" s="59">
        <f>G77*(1+'Tenure Split (North Wales)'!G$118)</f>
        <v>280272.36489647918</v>
      </c>
      <c r="L77" s="64" t="str">
        <f t="shared" si="4"/>
        <v/>
      </c>
      <c r="M77" s="264"/>
      <c r="N77" s="14">
        <f t="shared" si="7"/>
        <v>1</v>
      </c>
      <c r="T77" s="1">
        <f t="shared" si="5"/>
        <v>83</v>
      </c>
      <c r="U77" s="4" t="str">
        <f t="shared" si="6"/>
        <v/>
      </c>
      <c r="V77" s="4" t="e">
        <f>IF($V$3=$M$3,M77,U77*(1+'Tenure Split (WALES)'!C$118))</f>
        <v>#VALUE!</v>
      </c>
      <c r="W77" s="4" t="e">
        <f>V77*(1+'Tenure Split (WALES)'!D$118)</f>
        <v>#VALUE!</v>
      </c>
      <c r="X77" s="4" t="e">
        <f>W77*(1+'Tenure Split (WALES)'!E$118)</f>
        <v>#VALUE!</v>
      </c>
      <c r="Y77" s="4" t="e">
        <f>X77*(1+'Tenure Split (WALES)'!F$118)</f>
        <v>#VALUE!</v>
      </c>
      <c r="Z77" s="4" t="e">
        <f>Y77*(1+'Tenure Split (WALES)'!G$118)</f>
        <v>#VALUE!</v>
      </c>
      <c r="AB77" s="1">
        <v>83</v>
      </c>
      <c r="AC77" s="4">
        <f>IF('Tenure Split (WALES)'!$D$18="Land Registry Data",'House Prices (North Wales)'!D77,'House Prices (North Wales)'!V77)</f>
        <v>252987.77398210124</v>
      </c>
      <c r="AD77" s="4">
        <f>IF('Tenure Split (WALES)'!$D$18="Land Registry Data",'House Prices (North Wales)'!E77,'House Prices (North Wales)'!W77)</f>
        <v>253551.06510995995</v>
      </c>
      <c r="AE77" s="4">
        <f>IF('Tenure Split (WALES)'!$D$18="Land Registry Data",'House Prices (North Wales)'!F77,'House Prices (North Wales)'!X77)</f>
        <v>259008.59459200958</v>
      </c>
      <c r="AF77" s="4">
        <f>IF('Tenure Split (WALES)'!$D$18="Land Registry Data",'House Prices (North Wales)'!G77,'House Prices (North Wales)'!Y77)</f>
        <v>269109.71442090697</v>
      </c>
      <c r="AG77" s="4">
        <f>IF('Tenure Split (WALES)'!$D$18="Land Registry Data",'House Prices (North Wales)'!H77,'House Prices (North Wales)'!Z77)</f>
        <v>280272.36489647918</v>
      </c>
    </row>
    <row r="78" spans="2:33" x14ac:dyDescent="0.25">
      <c r="B78" s="20">
        <v>84</v>
      </c>
      <c r="C78" s="58">
        <v>250000</v>
      </c>
      <c r="D78" s="59">
        <f>C78*(1+'Tenure Split (North Wales)'!C$118)</f>
        <v>257101.3963232736</v>
      </c>
      <c r="E78" s="59">
        <f>D78*(1+'Tenure Split (North Wales)'!D$118)</f>
        <v>257673.84665646334</v>
      </c>
      <c r="F78" s="59">
        <f>E78*(1+'Tenure Split (North Wales)'!E$118)</f>
        <v>263220.11645529431</v>
      </c>
      <c r="G78" s="59">
        <f>F78*(1+'Tenure Split (North Wales)'!F$118)</f>
        <v>273485.48213506804</v>
      </c>
      <c r="H78" s="59">
        <f>G78*(1+'Tenure Split (North Wales)'!G$118)</f>
        <v>284829.63912243821</v>
      </c>
      <c r="L78" s="64" t="str">
        <f t="shared" si="4"/>
        <v/>
      </c>
      <c r="M78" s="264"/>
      <c r="N78" s="14">
        <f t="shared" si="7"/>
        <v>1</v>
      </c>
      <c r="T78" s="1">
        <f t="shared" si="5"/>
        <v>84</v>
      </c>
      <c r="U78" s="4" t="str">
        <f t="shared" si="6"/>
        <v/>
      </c>
      <c r="V78" s="4" t="e">
        <f>IF($V$3=$M$3,M78,U78*(1+'Tenure Split (WALES)'!C$118))</f>
        <v>#VALUE!</v>
      </c>
      <c r="W78" s="4" t="e">
        <f>V78*(1+'Tenure Split (WALES)'!D$118)</f>
        <v>#VALUE!</v>
      </c>
      <c r="X78" s="4" t="e">
        <f>W78*(1+'Tenure Split (WALES)'!E$118)</f>
        <v>#VALUE!</v>
      </c>
      <c r="Y78" s="4" t="e">
        <f>X78*(1+'Tenure Split (WALES)'!F$118)</f>
        <v>#VALUE!</v>
      </c>
      <c r="Z78" s="4" t="e">
        <f>Y78*(1+'Tenure Split (WALES)'!G$118)</f>
        <v>#VALUE!</v>
      </c>
      <c r="AB78" s="1">
        <v>84</v>
      </c>
      <c r="AC78" s="4">
        <f>IF('Tenure Split (WALES)'!$D$18="Land Registry Data",'House Prices (North Wales)'!D78,'House Prices (North Wales)'!V78)</f>
        <v>257101.3963232736</v>
      </c>
      <c r="AD78" s="4">
        <f>IF('Tenure Split (WALES)'!$D$18="Land Registry Data",'House Prices (North Wales)'!E78,'House Prices (North Wales)'!W78)</f>
        <v>257673.84665646334</v>
      </c>
      <c r="AE78" s="4">
        <f>IF('Tenure Split (WALES)'!$D$18="Land Registry Data",'House Prices (North Wales)'!F78,'House Prices (North Wales)'!X78)</f>
        <v>263220.11645529431</v>
      </c>
      <c r="AF78" s="4">
        <f>IF('Tenure Split (WALES)'!$D$18="Land Registry Data",'House Prices (North Wales)'!G78,'House Prices (North Wales)'!Y78)</f>
        <v>273485.48213506804</v>
      </c>
      <c r="AG78" s="4">
        <f>IF('Tenure Split (WALES)'!$D$18="Land Registry Data",'House Prices (North Wales)'!H78,'House Prices (North Wales)'!Z78)</f>
        <v>284829.63912243821</v>
      </c>
    </row>
    <row r="79" spans="2:33" x14ac:dyDescent="0.25">
      <c r="B79" s="20">
        <v>85</v>
      </c>
      <c r="C79" s="58">
        <v>255500</v>
      </c>
      <c r="D79" s="59">
        <f>C79*(1+'Tenure Split (North Wales)'!C$118)</f>
        <v>262757.62704238563</v>
      </c>
      <c r="E79" s="59">
        <f>D79*(1+'Tenure Split (North Wales)'!D$118)</f>
        <v>263342.67128290556</v>
      </c>
      <c r="F79" s="59">
        <f>E79*(1+'Tenure Split (North Wales)'!E$118)</f>
        <v>269010.95901731076</v>
      </c>
      <c r="G79" s="59">
        <f>F79*(1+'Tenure Split (North Wales)'!F$118)</f>
        <v>279502.16274203954</v>
      </c>
      <c r="H79" s="59">
        <f>G79*(1+'Tenure Split (North Wales)'!G$118)</f>
        <v>291095.89118313184</v>
      </c>
      <c r="L79" s="64" t="str">
        <f t="shared" si="4"/>
        <v/>
      </c>
      <c r="M79" s="264"/>
      <c r="N79" s="14">
        <f t="shared" si="7"/>
        <v>1</v>
      </c>
      <c r="T79" s="1">
        <f t="shared" si="5"/>
        <v>85</v>
      </c>
      <c r="U79" s="4" t="str">
        <f t="shared" si="6"/>
        <v/>
      </c>
      <c r="V79" s="4" t="e">
        <f>IF($V$3=$M$3,M79,U79*(1+'Tenure Split (WALES)'!C$118))</f>
        <v>#VALUE!</v>
      </c>
      <c r="W79" s="4" t="e">
        <f>V79*(1+'Tenure Split (WALES)'!D$118)</f>
        <v>#VALUE!</v>
      </c>
      <c r="X79" s="4" t="e">
        <f>W79*(1+'Tenure Split (WALES)'!E$118)</f>
        <v>#VALUE!</v>
      </c>
      <c r="Y79" s="4" t="e">
        <f>X79*(1+'Tenure Split (WALES)'!F$118)</f>
        <v>#VALUE!</v>
      </c>
      <c r="Z79" s="4" t="e">
        <f>Y79*(1+'Tenure Split (WALES)'!G$118)</f>
        <v>#VALUE!</v>
      </c>
      <c r="AB79" s="1">
        <v>85</v>
      </c>
      <c r="AC79" s="4">
        <f>IF('Tenure Split (WALES)'!$D$18="Land Registry Data",'House Prices (North Wales)'!D79,'House Prices (North Wales)'!V79)</f>
        <v>262757.62704238563</v>
      </c>
      <c r="AD79" s="4">
        <f>IF('Tenure Split (WALES)'!$D$18="Land Registry Data",'House Prices (North Wales)'!E79,'House Prices (North Wales)'!W79)</f>
        <v>263342.67128290556</v>
      </c>
      <c r="AE79" s="4">
        <f>IF('Tenure Split (WALES)'!$D$18="Land Registry Data",'House Prices (North Wales)'!F79,'House Prices (North Wales)'!X79)</f>
        <v>269010.95901731076</v>
      </c>
      <c r="AF79" s="4">
        <f>IF('Tenure Split (WALES)'!$D$18="Land Registry Data",'House Prices (North Wales)'!G79,'House Prices (North Wales)'!Y79)</f>
        <v>279502.16274203954</v>
      </c>
      <c r="AG79" s="4">
        <f>IF('Tenure Split (WALES)'!$D$18="Land Registry Data",'House Prices (North Wales)'!H79,'House Prices (North Wales)'!Z79)</f>
        <v>291095.89118313184</v>
      </c>
    </row>
    <row r="80" spans="2:33" x14ac:dyDescent="0.25">
      <c r="B80" s="20">
        <v>86</v>
      </c>
      <c r="C80" s="58">
        <v>260000</v>
      </c>
      <c r="D80" s="59">
        <f>C80*(1+'Tenure Split (North Wales)'!C$118)</f>
        <v>267385.45217620453</v>
      </c>
      <c r="E80" s="59">
        <f>D80*(1+'Tenure Split (North Wales)'!D$118)</f>
        <v>267980.80052272184</v>
      </c>
      <c r="F80" s="59">
        <f>E80*(1+'Tenure Split (North Wales)'!E$118)</f>
        <v>273748.92111350602</v>
      </c>
      <c r="G80" s="59">
        <f>F80*(1+'Tenure Split (North Wales)'!F$118)</f>
        <v>284424.90142047073</v>
      </c>
      <c r="H80" s="59">
        <f>G80*(1+'Tenure Split (North Wales)'!G$118)</f>
        <v>296222.8246873357</v>
      </c>
      <c r="L80" s="64" t="str">
        <f t="shared" si="4"/>
        <v/>
      </c>
      <c r="M80" s="264"/>
      <c r="N80" s="14">
        <f t="shared" si="7"/>
        <v>1</v>
      </c>
      <c r="T80" s="1">
        <f t="shared" si="5"/>
        <v>86</v>
      </c>
      <c r="U80" s="4" t="str">
        <f t="shared" si="6"/>
        <v/>
      </c>
      <c r="V80" s="4" t="e">
        <f>IF($V$3=$M$3,M80,U80*(1+'Tenure Split (WALES)'!C$118))</f>
        <v>#VALUE!</v>
      </c>
      <c r="W80" s="4" t="e">
        <f>V80*(1+'Tenure Split (WALES)'!D$118)</f>
        <v>#VALUE!</v>
      </c>
      <c r="X80" s="4" t="e">
        <f>W80*(1+'Tenure Split (WALES)'!E$118)</f>
        <v>#VALUE!</v>
      </c>
      <c r="Y80" s="4" t="e">
        <f>X80*(1+'Tenure Split (WALES)'!F$118)</f>
        <v>#VALUE!</v>
      </c>
      <c r="Z80" s="4" t="e">
        <f>Y80*(1+'Tenure Split (WALES)'!G$118)</f>
        <v>#VALUE!</v>
      </c>
      <c r="AB80" s="1">
        <v>86</v>
      </c>
      <c r="AC80" s="4">
        <f>IF('Tenure Split (WALES)'!$D$18="Land Registry Data",'House Prices (North Wales)'!D80,'House Prices (North Wales)'!V80)</f>
        <v>267385.45217620453</v>
      </c>
      <c r="AD80" s="4">
        <f>IF('Tenure Split (WALES)'!$D$18="Land Registry Data",'House Prices (North Wales)'!E80,'House Prices (North Wales)'!W80)</f>
        <v>267980.80052272184</v>
      </c>
      <c r="AE80" s="4">
        <f>IF('Tenure Split (WALES)'!$D$18="Land Registry Data",'House Prices (North Wales)'!F80,'House Prices (North Wales)'!X80)</f>
        <v>273748.92111350602</v>
      </c>
      <c r="AF80" s="4">
        <f>IF('Tenure Split (WALES)'!$D$18="Land Registry Data",'House Prices (North Wales)'!G80,'House Prices (North Wales)'!Y80)</f>
        <v>284424.90142047073</v>
      </c>
      <c r="AG80" s="4">
        <f>IF('Tenure Split (WALES)'!$D$18="Land Registry Data",'House Prices (North Wales)'!H80,'House Prices (North Wales)'!Z80)</f>
        <v>296222.8246873357</v>
      </c>
    </row>
    <row r="81" spans="2:33" x14ac:dyDescent="0.25">
      <c r="B81" s="20">
        <v>87</v>
      </c>
      <c r="C81" s="58">
        <v>267500</v>
      </c>
      <c r="D81" s="59">
        <f>C81*(1+'Tenure Split (North Wales)'!C$118)</f>
        <v>275098.49406590278</v>
      </c>
      <c r="E81" s="59">
        <f>D81*(1+'Tenure Split (North Wales)'!D$118)</f>
        <v>275711.01592241577</v>
      </c>
      <c r="F81" s="59">
        <f>E81*(1+'Tenure Split (North Wales)'!E$118)</f>
        <v>281645.52460716484</v>
      </c>
      <c r="G81" s="59">
        <f>F81*(1+'Tenure Split (North Wales)'!F$118)</f>
        <v>292629.46588452277</v>
      </c>
      <c r="H81" s="59">
        <f>G81*(1+'Tenure Split (North Wales)'!G$118)</f>
        <v>304767.71386100882</v>
      </c>
      <c r="L81" s="64" t="str">
        <f t="shared" si="4"/>
        <v/>
      </c>
      <c r="M81" s="264"/>
      <c r="N81" s="14">
        <f t="shared" si="7"/>
        <v>1</v>
      </c>
      <c r="T81" s="1">
        <f t="shared" si="5"/>
        <v>87</v>
      </c>
      <c r="U81" s="4" t="str">
        <f t="shared" si="6"/>
        <v/>
      </c>
      <c r="V81" s="4" t="e">
        <f>IF($V$3=$M$3,M81,U81*(1+'Tenure Split (WALES)'!C$118))</f>
        <v>#VALUE!</v>
      </c>
      <c r="W81" s="4" t="e">
        <f>V81*(1+'Tenure Split (WALES)'!D$118)</f>
        <v>#VALUE!</v>
      </c>
      <c r="X81" s="4" t="e">
        <f>W81*(1+'Tenure Split (WALES)'!E$118)</f>
        <v>#VALUE!</v>
      </c>
      <c r="Y81" s="4" t="e">
        <f>X81*(1+'Tenure Split (WALES)'!F$118)</f>
        <v>#VALUE!</v>
      </c>
      <c r="Z81" s="4" t="e">
        <f>Y81*(1+'Tenure Split (WALES)'!G$118)</f>
        <v>#VALUE!</v>
      </c>
      <c r="AB81" s="1">
        <v>87</v>
      </c>
      <c r="AC81" s="4">
        <f>IF('Tenure Split (WALES)'!$D$18="Land Registry Data",'House Prices (North Wales)'!D81,'House Prices (North Wales)'!V81)</f>
        <v>275098.49406590278</v>
      </c>
      <c r="AD81" s="4">
        <f>IF('Tenure Split (WALES)'!$D$18="Land Registry Data",'House Prices (North Wales)'!E81,'House Prices (North Wales)'!W81)</f>
        <v>275711.01592241577</v>
      </c>
      <c r="AE81" s="4">
        <f>IF('Tenure Split (WALES)'!$D$18="Land Registry Data",'House Prices (North Wales)'!F81,'House Prices (North Wales)'!X81)</f>
        <v>281645.52460716484</v>
      </c>
      <c r="AF81" s="4">
        <f>IF('Tenure Split (WALES)'!$D$18="Land Registry Data",'House Prices (North Wales)'!G81,'House Prices (North Wales)'!Y81)</f>
        <v>292629.46588452277</v>
      </c>
      <c r="AG81" s="4">
        <f>IF('Tenure Split (WALES)'!$D$18="Land Registry Data",'House Prices (North Wales)'!H81,'House Prices (North Wales)'!Z81)</f>
        <v>304767.71386100882</v>
      </c>
    </row>
    <row r="82" spans="2:33" x14ac:dyDescent="0.25">
      <c r="B82" s="20">
        <v>88</v>
      </c>
      <c r="C82" s="58">
        <v>275000</v>
      </c>
      <c r="D82" s="59">
        <f>C82*(1+'Tenure Split (North Wales)'!C$118)</f>
        <v>282811.53595560096</v>
      </c>
      <c r="E82" s="59">
        <f>D82*(1+'Tenure Split (North Wales)'!D$118)</f>
        <v>283441.2313221097</v>
      </c>
      <c r="F82" s="59">
        <f>E82*(1+'Tenure Split (North Wales)'!E$118)</f>
        <v>289542.12810082373</v>
      </c>
      <c r="G82" s="59">
        <f>F82*(1+'Tenure Split (North Wales)'!F$118)</f>
        <v>300834.03034857486</v>
      </c>
      <c r="H82" s="59">
        <f>G82*(1+'Tenure Split (North Wales)'!G$118)</f>
        <v>313312.60303468199</v>
      </c>
      <c r="L82" s="64" t="str">
        <f t="shared" si="4"/>
        <v/>
      </c>
      <c r="M82" s="264"/>
      <c r="N82" s="14">
        <f t="shared" si="7"/>
        <v>1</v>
      </c>
      <c r="T82" s="1">
        <f t="shared" si="5"/>
        <v>88</v>
      </c>
      <c r="U82" s="4" t="str">
        <f t="shared" si="6"/>
        <v/>
      </c>
      <c r="V82" s="4" t="e">
        <f>IF($V$3=$M$3,M82,U82*(1+'Tenure Split (WALES)'!C$118))</f>
        <v>#VALUE!</v>
      </c>
      <c r="W82" s="4" t="e">
        <f>V82*(1+'Tenure Split (WALES)'!D$118)</f>
        <v>#VALUE!</v>
      </c>
      <c r="X82" s="4" t="e">
        <f>W82*(1+'Tenure Split (WALES)'!E$118)</f>
        <v>#VALUE!</v>
      </c>
      <c r="Y82" s="4" t="e">
        <f>X82*(1+'Tenure Split (WALES)'!F$118)</f>
        <v>#VALUE!</v>
      </c>
      <c r="Z82" s="4" t="e">
        <f>Y82*(1+'Tenure Split (WALES)'!G$118)</f>
        <v>#VALUE!</v>
      </c>
      <c r="AB82" s="1">
        <v>88</v>
      </c>
      <c r="AC82" s="4">
        <f>IF('Tenure Split (WALES)'!$D$18="Land Registry Data",'House Prices (North Wales)'!D82,'House Prices (North Wales)'!V82)</f>
        <v>282811.53595560096</v>
      </c>
      <c r="AD82" s="4">
        <f>IF('Tenure Split (WALES)'!$D$18="Land Registry Data",'House Prices (North Wales)'!E82,'House Prices (North Wales)'!W82)</f>
        <v>283441.2313221097</v>
      </c>
      <c r="AE82" s="4">
        <f>IF('Tenure Split (WALES)'!$D$18="Land Registry Data",'House Prices (North Wales)'!F82,'House Prices (North Wales)'!X82)</f>
        <v>289542.12810082373</v>
      </c>
      <c r="AF82" s="4">
        <f>IF('Tenure Split (WALES)'!$D$18="Land Registry Data",'House Prices (North Wales)'!G82,'House Prices (North Wales)'!Y82)</f>
        <v>300834.03034857486</v>
      </c>
      <c r="AG82" s="4">
        <f>IF('Tenure Split (WALES)'!$D$18="Land Registry Data",'House Prices (North Wales)'!H82,'House Prices (North Wales)'!Z82)</f>
        <v>313312.60303468199</v>
      </c>
    </row>
    <row r="83" spans="2:33" x14ac:dyDescent="0.25">
      <c r="B83" s="20">
        <v>89</v>
      </c>
      <c r="C83" s="58">
        <v>280000</v>
      </c>
      <c r="D83" s="59">
        <f>C83*(1+'Tenure Split (North Wales)'!C$118)</f>
        <v>287953.56388206646</v>
      </c>
      <c r="E83" s="59">
        <f>D83*(1+'Tenure Split (North Wales)'!D$118)</f>
        <v>288594.70825523895</v>
      </c>
      <c r="F83" s="59">
        <f>E83*(1+'Tenure Split (North Wales)'!E$118)</f>
        <v>294806.53042992961</v>
      </c>
      <c r="G83" s="59">
        <f>F83*(1+'Tenure Split (North Wales)'!F$118)</f>
        <v>306303.73999127623</v>
      </c>
      <c r="H83" s="59">
        <f>G83*(1+'Tenure Split (North Wales)'!G$118)</f>
        <v>319009.19581713079</v>
      </c>
      <c r="L83" s="64" t="str">
        <f t="shared" si="4"/>
        <v/>
      </c>
      <c r="M83" s="264"/>
      <c r="N83" s="14">
        <f t="shared" si="7"/>
        <v>1</v>
      </c>
      <c r="T83" s="1">
        <f t="shared" si="5"/>
        <v>89</v>
      </c>
      <c r="U83" s="4" t="str">
        <f t="shared" si="6"/>
        <v/>
      </c>
      <c r="V83" s="4" t="e">
        <f>IF($V$3=$M$3,M83,U83*(1+'Tenure Split (WALES)'!C$118))</f>
        <v>#VALUE!</v>
      </c>
      <c r="W83" s="4" t="e">
        <f>V83*(1+'Tenure Split (WALES)'!D$118)</f>
        <v>#VALUE!</v>
      </c>
      <c r="X83" s="4" t="e">
        <f>W83*(1+'Tenure Split (WALES)'!E$118)</f>
        <v>#VALUE!</v>
      </c>
      <c r="Y83" s="4" t="e">
        <f>X83*(1+'Tenure Split (WALES)'!F$118)</f>
        <v>#VALUE!</v>
      </c>
      <c r="Z83" s="4" t="e">
        <f>Y83*(1+'Tenure Split (WALES)'!G$118)</f>
        <v>#VALUE!</v>
      </c>
      <c r="AB83" s="1">
        <v>89</v>
      </c>
      <c r="AC83" s="4">
        <f>IF('Tenure Split (WALES)'!$D$18="Land Registry Data",'House Prices (North Wales)'!D83,'House Prices (North Wales)'!V83)</f>
        <v>287953.56388206646</v>
      </c>
      <c r="AD83" s="4">
        <f>IF('Tenure Split (WALES)'!$D$18="Land Registry Data",'House Prices (North Wales)'!E83,'House Prices (North Wales)'!W83)</f>
        <v>288594.70825523895</v>
      </c>
      <c r="AE83" s="4">
        <f>IF('Tenure Split (WALES)'!$D$18="Land Registry Data",'House Prices (North Wales)'!F83,'House Prices (North Wales)'!X83)</f>
        <v>294806.53042992961</v>
      </c>
      <c r="AF83" s="4">
        <f>IF('Tenure Split (WALES)'!$D$18="Land Registry Data",'House Prices (North Wales)'!G83,'House Prices (North Wales)'!Y83)</f>
        <v>306303.73999127623</v>
      </c>
      <c r="AG83" s="4">
        <f>IF('Tenure Split (WALES)'!$D$18="Land Registry Data",'House Prices (North Wales)'!H83,'House Prices (North Wales)'!Z83)</f>
        <v>319009.19581713079</v>
      </c>
    </row>
    <row r="84" spans="2:33" x14ac:dyDescent="0.25">
      <c r="B84" s="23">
        <v>90</v>
      </c>
      <c r="C84" s="61">
        <v>289950</v>
      </c>
      <c r="D84" s="59">
        <f>C84*(1+'Tenure Split (North Wales)'!C$118)</f>
        <v>298186.19945573271</v>
      </c>
      <c r="E84" s="59">
        <f>D84*(1+'Tenure Split (North Wales)'!D$118)</f>
        <v>298850.12735216616</v>
      </c>
      <c r="F84" s="59">
        <f>E84*(1+'Tenure Split (North Wales)'!E$118)</f>
        <v>305282.69106485031</v>
      </c>
      <c r="G84" s="59">
        <f>F84*(1+'Tenure Split (North Wales)'!F$118)</f>
        <v>317188.4621802519</v>
      </c>
      <c r="H84" s="59">
        <f>G84*(1+'Tenure Split (North Wales)'!G$118)</f>
        <v>330345.41545420379</v>
      </c>
      <c r="L84" s="65" t="str">
        <f t="shared" si="4"/>
        <v/>
      </c>
      <c r="M84" s="265"/>
      <c r="N84" s="14">
        <f t="shared" si="7"/>
        <v>1</v>
      </c>
      <c r="T84" s="1">
        <f t="shared" si="5"/>
        <v>90</v>
      </c>
      <c r="U84" s="4" t="str">
        <f t="shared" si="6"/>
        <v/>
      </c>
      <c r="V84" s="4" t="e">
        <f>IF($V$3=$M$3,M84,U84*(1+'Tenure Split (WALES)'!C$118))</f>
        <v>#VALUE!</v>
      </c>
      <c r="W84" s="4" t="e">
        <f>V84*(1+'Tenure Split (WALES)'!D$118)</f>
        <v>#VALUE!</v>
      </c>
      <c r="X84" s="4" t="e">
        <f>W84*(1+'Tenure Split (WALES)'!E$118)</f>
        <v>#VALUE!</v>
      </c>
      <c r="Y84" s="4" t="e">
        <f>X84*(1+'Tenure Split (WALES)'!F$118)</f>
        <v>#VALUE!</v>
      </c>
      <c r="Z84" s="4" t="e">
        <f>Y84*(1+'Tenure Split (WALES)'!G$118)</f>
        <v>#VALUE!</v>
      </c>
      <c r="AB84" s="1">
        <v>90</v>
      </c>
      <c r="AC84" s="4">
        <f>IF('Tenure Split (WALES)'!$D$18="Land Registry Data",'House Prices (North Wales)'!D84,'House Prices (North Wales)'!V84)</f>
        <v>298186.19945573271</v>
      </c>
      <c r="AD84" s="4">
        <f>IF('Tenure Split (WALES)'!$D$18="Land Registry Data",'House Prices (North Wales)'!E84,'House Prices (North Wales)'!W84)</f>
        <v>298850.12735216616</v>
      </c>
      <c r="AE84" s="4">
        <f>IF('Tenure Split (WALES)'!$D$18="Land Registry Data",'House Prices (North Wales)'!F84,'House Prices (North Wales)'!X84)</f>
        <v>305282.69106485031</v>
      </c>
      <c r="AF84" s="4">
        <f>IF('Tenure Split (WALES)'!$D$18="Land Registry Data",'House Prices (North Wales)'!G84,'House Prices (North Wales)'!Y84)</f>
        <v>317188.4621802519</v>
      </c>
      <c r="AG84" s="4">
        <f>IF('Tenure Split (WALES)'!$D$18="Land Registry Data",'House Prices (North Wales)'!H84,'House Prices (North Wales)'!Z84)</f>
        <v>330345.41545420379</v>
      </c>
    </row>
    <row r="85" spans="2:33" x14ac:dyDescent="0.25">
      <c r="N85" s="14">
        <f>IF(SUM(N4:N84)&gt;0,1,0)</f>
        <v>1</v>
      </c>
    </row>
  </sheetData>
  <sheetProtection sheet="1" objects="1" scenarios="1"/>
  <mergeCells count="3">
    <mergeCell ref="B2:H2"/>
    <mergeCell ref="J2:M2"/>
    <mergeCell ref="J9:J10"/>
  </mergeCells>
  <dataValidations count="2">
    <dataValidation type="list" allowBlank="1" showInputMessage="1" showErrorMessage="1" sqref="K4">
      <formula1>"2017,2018"</formula1>
    </dataValidation>
    <dataValidation type="decimal" operator="greaterThan" allowBlank="1" showInputMessage="1" showErrorMessage="1" sqref="M4:M84">
      <formula1>0</formula1>
    </dataValidation>
  </dataValidations>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85"/>
  <sheetViews>
    <sheetView showGridLines="0" workbookViewId="0"/>
  </sheetViews>
  <sheetFormatPr defaultColWidth="9.140625" defaultRowHeight="15" x14ac:dyDescent="0.25"/>
  <cols>
    <col min="1" max="1" width="2.140625" style="1" customWidth="1"/>
    <col min="2" max="2" width="10.140625" style="1" bestFit="1" customWidth="1"/>
    <col min="3" max="3" width="9.140625" style="1"/>
    <col min="4" max="8" width="10.140625" style="1" bestFit="1" customWidth="1"/>
    <col min="9" max="9" width="9.140625" style="1"/>
    <col min="10" max="10" width="53.85546875" style="1" customWidth="1"/>
    <col min="11" max="11" width="9.140625" style="1"/>
    <col min="12" max="12" width="10.140625" style="1" customWidth="1"/>
    <col min="13" max="13" width="9.140625" style="1"/>
    <col min="14" max="14" width="9.140625" style="1" hidden="1" customWidth="1"/>
    <col min="15" max="19" width="9.140625" style="1"/>
    <col min="20" max="20" width="9.140625" style="1" hidden="1" customWidth="1"/>
    <col min="21" max="26" width="10.140625" style="1" hidden="1" customWidth="1"/>
    <col min="27" max="28" width="9.140625" style="1" customWidth="1"/>
    <col min="29" max="29" width="10.140625" style="1" customWidth="1"/>
    <col min="30" max="33" width="9.140625" style="1" customWidth="1"/>
    <col min="34" max="16384" width="9.140625" style="1"/>
  </cols>
  <sheetData>
    <row r="1" spans="2:33" ht="9.75" customHeight="1" x14ac:dyDescent="0.25"/>
    <row r="2" spans="2:33" ht="26.25" customHeight="1" x14ac:dyDescent="0.25">
      <c r="B2" s="430" t="s">
        <v>143</v>
      </c>
      <c r="C2" s="431"/>
      <c r="D2" s="431"/>
      <c r="E2" s="431"/>
      <c r="F2" s="431"/>
      <c r="G2" s="431"/>
      <c r="H2" s="432"/>
      <c r="J2" s="433" t="s">
        <v>86</v>
      </c>
      <c r="K2" s="434"/>
      <c r="L2" s="434"/>
      <c r="M2" s="435"/>
      <c r="N2" s="67"/>
      <c r="U2" s="1" t="s">
        <v>88</v>
      </c>
      <c r="AB2" s="1" t="s">
        <v>89</v>
      </c>
    </row>
    <row r="3" spans="2:33" x14ac:dyDescent="0.25">
      <c r="B3" s="34" t="s">
        <v>46</v>
      </c>
      <c r="C3" s="35">
        <v>2017</v>
      </c>
      <c r="D3" s="35">
        <v>2018</v>
      </c>
      <c r="E3" s="35">
        <v>2019</v>
      </c>
      <c r="F3" s="35">
        <v>2020</v>
      </c>
      <c r="G3" s="35">
        <v>2021</v>
      </c>
      <c r="H3" s="57">
        <v>2022</v>
      </c>
      <c r="L3" s="34" t="s">
        <v>46</v>
      </c>
      <c r="M3" s="66">
        <f>K4</f>
        <v>0</v>
      </c>
      <c r="N3" s="68" t="s">
        <v>80</v>
      </c>
      <c r="U3" s="1">
        <v>2017</v>
      </c>
      <c r="V3" s="1">
        <v>2018</v>
      </c>
      <c r="W3" s="1">
        <v>2019</v>
      </c>
      <c r="X3" s="1">
        <v>2020</v>
      </c>
      <c r="Y3" s="1">
        <v>2021</v>
      </c>
      <c r="Z3" s="1">
        <v>2022</v>
      </c>
      <c r="AC3" s="1" t="s">
        <v>9</v>
      </c>
      <c r="AD3" s="1" t="s">
        <v>10</v>
      </c>
      <c r="AE3" s="1" t="s">
        <v>11</v>
      </c>
      <c r="AF3" s="1" t="s">
        <v>12</v>
      </c>
      <c r="AG3" s="1" t="s">
        <v>13</v>
      </c>
    </row>
    <row r="4" spans="2:33" x14ac:dyDescent="0.25">
      <c r="B4" s="20">
        <v>10</v>
      </c>
      <c r="C4" s="58">
        <v>75000</v>
      </c>
      <c r="D4" s="59">
        <f>C4*(1+'Tenure Split (Mid and SW Wales)'!C$118)</f>
        <v>77130.418896982083</v>
      </c>
      <c r="E4" s="59">
        <f>D4*(1+'Tenure Split (Mid and SW Wales)'!D$118)</f>
        <v>77302.153996939</v>
      </c>
      <c r="F4" s="59">
        <f>E4*(1+'Tenure Split (Mid and SW Wales)'!E$118)</f>
        <v>78966.034936588287</v>
      </c>
      <c r="G4" s="59">
        <f>F4*(1+'Tenure Split (Mid and SW Wales)'!F$118)</f>
        <v>82045.644640520419</v>
      </c>
      <c r="H4" s="59">
        <f>G4*(1+'Tenure Split (Mid and SW Wales)'!G$118)</f>
        <v>85448.891736731457</v>
      </c>
      <c r="I4" s="4"/>
      <c r="J4" s="69" t="str">
        <f>IF('Tenure Split (WALES)'!D18="Other","Choose what year of data you would like to enter:","")</f>
        <v/>
      </c>
      <c r="K4" s="263"/>
      <c r="L4" s="64" t="str">
        <f t="shared" ref="L4:L67" si="0">IF(ISBLANK($K$4),"",B4)</f>
        <v/>
      </c>
      <c r="M4" s="264"/>
      <c r="N4" s="14">
        <f>IF(ISBLANK(M4),1,0)</f>
        <v>1</v>
      </c>
      <c r="O4" s="11" t="str">
        <f>IF(J4="","",IF(N85=1,"&lt;&lt; Enter each percentile data here.",""))</f>
        <v/>
      </c>
      <c r="T4" s="1">
        <f t="shared" ref="T4:T67" si="1">B4</f>
        <v>10</v>
      </c>
      <c r="U4" s="4" t="str">
        <f t="shared" ref="U4:U67" si="2">IF($M$3=$U$3,M4,"")</f>
        <v/>
      </c>
      <c r="V4" s="4" t="e">
        <f>IF($V$3=$M$3,M4,U4*(1+'Tenure Split (WALES)'!C$118))</f>
        <v>#VALUE!</v>
      </c>
      <c r="W4" s="4" t="e">
        <f>V4*(1+'Tenure Split (WALES)'!D$118)</f>
        <v>#VALUE!</v>
      </c>
      <c r="X4" s="4" t="e">
        <f>W4*(1+'Tenure Split (WALES)'!E$118)</f>
        <v>#VALUE!</v>
      </c>
      <c r="Y4" s="4" t="e">
        <f>X4*(1+'Tenure Split (WALES)'!F$118)</f>
        <v>#VALUE!</v>
      </c>
      <c r="Z4" s="4" t="e">
        <f>Y4*(1+'Tenure Split (WALES)'!G$118)</f>
        <v>#VALUE!</v>
      </c>
      <c r="AB4" s="1">
        <v>10</v>
      </c>
      <c r="AC4" s="4">
        <f>IF('Tenure Split (WALES)'!$D$18="Land Registry Data",'House Prices (Mid and SW Wales)'!D4,'House Prices (Mid and SW Wales)'!V4)</f>
        <v>77130.418896982083</v>
      </c>
      <c r="AD4" s="4">
        <f>IF('Tenure Split (WALES)'!$D$18="Land Registry Data",'House Prices (Mid and SW Wales)'!E4,'House Prices (Mid and SW Wales)'!W4)</f>
        <v>77302.153996939</v>
      </c>
      <c r="AE4" s="4">
        <f>IF('Tenure Split (WALES)'!$D$18="Land Registry Data",'House Prices (Mid and SW Wales)'!F4,'House Prices (Mid and SW Wales)'!X4)</f>
        <v>78966.034936588287</v>
      </c>
      <c r="AF4" s="4">
        <f>IF('Tenure Split (WALES)'!$D$18="Land Registry Data",'House Prices (Mid and SW Wales)'!G4,'House Prices (Mid and SW Wales)'!Y4)</f>
        <v>82045.644640520419</v>
      </c>
      <c r="AG4" s="4">
        <f>IF('Tenure Split (WALES)'!$D$18="Land Registry Data",'House Prices (Mid and SW Wales)'!H4,'House Prices (Mid and SW Wales)'!Z4)</f>
        <v>85448.891736731457</v>
      </c>
    </row>
    <row r="5" spans="2:33" x14ac:dyDescent="0.25">
      <c r="B5" s="20">
        <v>11</v>
      </c>
      <c r="C5" s="58">
        <v>78000</v>
      </c>
      <c r="D5" s="59">
        <f>C5*(1+'Tenure Split (Mid and SW Wales)'!C$118)</f>
        <v>80215.635652861369</v>
      </c>
      <c r="E5" s="59">
        <f>D5*(1+'Tenure Split (Mid and SW Wales)'!D$118)</f>
        <v>80394.240156816566</v>
      </c>
      <c r="F5" s="59">
        <f>E5*(1+'Tenure Split (Mid and SW Wales)'!E$118)</f>
        <v>82124.676334051823</v>
      </c>
      <c r="G5" s="59">
        <f>F5*(1+'Tenure Split (Mid and SW Wales)'!F$118)</f>
        <v>85327.470426141241</v>
      </c>
      <c r="H5" s="59">
        <f>G5*(1+'Tenure Split (Mid and SW Wales)'!G$118)</f>
        <v>88866.84740620073</v>
      </c>
      <c r="J5" s="70" t="str">
        <f>IF(J4="","","You only need to enter one year of data (either 2017 or 2018)")</f>
        <v/>
      </c>
      <c r="L5" s="64" t="str">
        <f t="shared" si="0"/>
        <v/>
      </c>
      <c r="M5" s="264"/>
      <c r="N5" s="14">
        <f t="shared" ref="N5:N68" si="3">IF(ISBLANK(M5),1,0)</f>
        <v>1</v>
      </c>
      <c r="T5" s="1">
        <f t="shared" si="1"/>
        <v>11</v>
      </c>
      <c r="U5" s="4" t="str">
        <f t="shared" si="2"/>
        <v/>
      </c>
      <c r="V5" s="4" t="e">
        <f>IF($V$3=$M$3,M5,U5*(1+'Tenure Split (WALES)'!C$118))</f>
        <v>#VALUE!</v>
      </c>
      <c r="W5" s="4" t="e">
        <f>V5*(1+'Tenure Split (WALES)'!D$118)</f>
        <v>#VALUE!</v>
      </c>
      <c r="X5" s="4" t="e">
        <f>W5*(1+'Tenure Split (WALES)'!E$118)</f>
        <v>#VALUE!</v>
      </c>
      <c r="Y5" s="4" t="e">
        <f>X5*(1+'Tenure Split (WALES)'!F$118)</f>
        <v>#VALUE!</v>
      </c>
      <c r="Z5" s="4" t="e">
        <f>Y5*(1+'Tenure Split (WALES)'!G$118)</f>
        <v>#VALUE!</v>
      </c>
      <c r="AB5" s="1">
        <v>11</v>
      </c>
      <c r="AC5" s="4">
        <f>IF('Tenure Split (WALES)'!$D$18="Land Registry Data",'House Prices (Mid and SW Wales)'!D5,'House Prices (Mid and SW Wales)'!V5)</f>
        <v>80215.635652861369</v>
      </c>
      <c r="AD5" s="4">
        <f>IF('Tenure Split (WALES)'!$D$18="Land Registry Data",'House Prices (Mid and SW Wales)'!E5,'House Prices (Mid and SW Wales)'!W5)</f>
        <v>80394.240156816566</v>
      </c>
      <c r="AE5" s="4">
        <f>IF('Tenure Split (WALES)'!$D$18="Land Registry Data",'House Prices (Mid and SW Wales)'!F5,'House Prices (Mid and SW Wales)'!X5)</f>
        <v>82124.676334051823</v>
      </c>
      <c r="AF5" s="4">
        <f>IF('Tenure Split (WALES)'!$D$18="Land Registry Data",'House Prices (Mid and SW Wales)'!G5,'House Prices (Mid and SW Wales)'!Y5)</f>
        <v>85327.470426141241</v>
      </c>
      <c r="AG5" s="4">
        <f>IF('Tenure Split (WALES)'!$D$18="Land Registry Data",'House Prices (Mid and SW Wales)'!H5,'House Prices (Mid and SW Wales)'!Z5)</f>
        <v>88866.84740620073</v>
      </c>
    </row>
    <row r="6" spans="2:33" x14ac:dyDescent="0.25">
      <c r="B6" s="20">
        <v>12</v>
      </c>
      <c r="C6" s="58">
        <v>80000</v>
      </c>
      <c r="D6" s="59">
        <f>C6*(1+'Tenure Split (Mid and SW Wales)'!C$118)</f>
        <v>82272.44682344755</v>
      </c>
      <c r="E6" s="59">
        <f>D6*(1+'Tenure Split (Mid and SW Wales)'!D$118)</f>
        <v>82455.630930068262</v>
      </c>
      <c r="F6" s="59">
        <f>E6*(1+'Tenure Split (Mid and SW Wales)'!E$118)</f>
        <v>84230.437265694156</v>
      </c>
      <c r="G6" s="59">
        <f>F6*(1+'Tenure Split (Mid and SW Wales)'!F$118)</f>
        <v>87515.354283221764</v>
      </c>
      <c r="H6" s="59">
        <f>G6*(1+'Tenure Split (Mid and SW Wales)'!G$118)</f>
        <v>91145.484519180216</v>
      </c>
      <c r="L6" s="64" t="str">
        <f t="shared" si="0"/>
        <v/>
      </c>
      <c r="M6" s="264"/>
      <c r="N6" s="14">
        <f t="shared" si="3"/>
        <v>1</v>
      </c>
      <c r="T6" s="1">
        <f t="shared" si="1"/>
        <v>12</v>
      </c>
      <c r="U6" s="4" t="str">
        <f t="shared" si="2"/>
        <v/>
      </c>
      <c r="V6" s="4" t="e">
        <f>IF($V$3=$M$3,M6,U6*(1+'Tenure Split (WALES)'!C$118))</f>
        <v>#VALUE!</v>
      </c>
      <c r="W6" s="4" t="e">
        <f>V6*(1+'Tenure Split (WALES)'!D$118)</f>
        <v>#VALUE!</v>
      </c>
      <c r="X6" s="4" t="e">
        <f>W6*(1+'Tenure Split (WALES)'!E$118)</f>
        <v>#VALUE!</v>
      </c>
      <c r="Y6" s="4" t="e">
        <f>X6*(1+'Tenure Split (WALES)'!F$118)</f>
        <v>#VALUE!</v>
      </c>
      <c r="Z6" s="4" t="e">
        <f>Y6*(1+'Tenure Split (WALES)'!G$118)</f>
        <v>#VALUE!</v>
      </c>
      <c r="AB6" s="1">
        <v>12</v>
      </c>
      <c r="AC6" s="4">
        <f>IF('Tenure Split (WALES)'!$D$18="Land Registry Data",'House Prices (Mid and SW Wales)'!D6,'House Prices (Mid and SW Wales)'!V6)</f>
        <v>82272.44682344755</v>
      </c>
      <c r="AD6" s="4">
        <f>IF('Tenure Split (WALES)'!$D$18="Land Registry Data",'House Prices (Mid and SW Wales)'!E6,'House Prices (Mid and SW Wales)'!W6)</f>
        <v>82455.630930068262</v>
      </c>
      <c r="AE6" s="4">
        <f>IF('Tenure Split (WALES)'!$D$18="Land Registry Data",'House Prices (Mid and SW Wales)'!F6,'House Prices (Mid and SW Wales)'!X6)</f>
        <v>84230.437265694156</v>
      </c>
      <c r="AF6" s="4">
        <f>IF('Tenure Split (WALES)'!$D$18="Land Registry Data",'House Prices (Mid and SW Wales)'!G6,'House Prices (Mid and SW Wales)'!Y6)</f>
        <v>87515.354283221764</v>
      </c>
      <c r="AG6" s="4">
        <f>IF('Tenure Split (WALES)'!$D$18="Land Registry Data",'House Prices (Mid and SW Wales)'!H6,'House Prices (Mid and SW Wales)'!Z6)</f>
        <v>91145.484519180216</v>
      </c>
    </row>
    <row r="7" spans="2:33" x14ac:dyDescent="0.25">
      <c r="B7" s="20">
        <v>13</v>
      </c>
      <c r="C7" s="58">
        <v>81109.649999999994</v>
      </c>
      <c r="D7" s="59">
        <f>C7*(1+'Tenure Split (Mid and SW Wales)'!C$118)</f>
        <v>83413.617081168035</v>
      </c>
      <c r="E7" s="59">
        <f>D7*(1+'Tenure Split (Mid and SW Wales)'!D$118)</f>
        <v>83599.342065837642</v>
      </c>
      <c r="F7" s="59">
        <f>E7*(1+'Tenure Split (Mid and SW Wales)'!E$118)</f>
        <v>85398.766074592626</v>
      </c>
      <c r="G7" s="59">
        <f>F7*(1+'Tenure Split (Mid and SW Wales)'!F$118)</f>
        <v>88729.24694422647</v>
      </c>
      <c r="H7" s="59">
        <f>G7*(1+'Tenure Split (Mid and SW Wales)'!G$118)</f>
        <v>92409.729355389063</v>
      </c>
      <c r="J7" s="11" t="str">
        <f>IF(J4="","",IF(N85=1,"User input not yet complete",IF(N85=0,"User input complete","")))</f>
        <v/>
      </c>
      <c r="L7" s="64" t="str">
        <f t="shared" si="0"/>
        <v/>
      </c>
      <c r="M7" s="264"/>
      <c r="N7" s="14">
        <f t="shared" si="3"/>
        <v>1</v>
      </c>
      <c r="T7" s="1">
        <f t="shared" si="1"/>
        <v>13</v>
      </c>
      <c r="U7" s="4" t="str">
        <f t="shared" si="2"/>
        <v/>
      </c>
      <c r="V7" s="4" t="e">
        <f>IF($V$3=$M$3,M7,U7*(1+'Tenure Split (WALES)'!C$118))</f>
        <v>#VALUE!</v>
      </c>
      <c r="W7" s="4" t="e">
        <f>V7*(1+'Tenure Split (WALES)'!D$118)</f>
        <v>#VALUE!</v>
      </c>
      <c r="X7" s="4" t="e">
        <f>W7*(1+'Tenure Split (WALES)'!E$118)</f>
        <v>#VALUE!</v>
      </c>
      <c r="Y7" s="4" t="e">
        <f>X7*(1+'Tenure Split (WALES)'!F$118)</f>
        <v>#VALUE!</v>
      </c>
      <c r="Z7" s="4" t="e">
        <f>Y7*(1+'Tenure Split (WALES)'!G$118)</f>
        <v>#VALUE!</v>
      </c>
      <c r="AB7" s="1">
        <v>13</v>
      </c>
      <c r="AC7" s="4">
        <f>IF('Tenure Split (WALES)'!$D$18="Land Registry Data",'House Prices (Mid and SW Wales)'!D7,'House Prices (Mid and SW Wales)'!V7)</f>
        <v>83413.617081168035</v>
      </c>
      <c r="AD7" s="4">
        <f>IF('Tenure Split (WALES)'!$D$18="Land Registry Data",'House Prices (Mid and SW Wales)'!E7,'House Prices (Mid and SW Wales)'!W7)</f>
        <v>83599.342065837642</v>
      </c>
      <c r="AE7" s="4">
        <f>IF('Tenure Split (WALES)'!$D$18="Land Registry Data",'House Prices (Mid and SW Wales)'!F7,'House Prices (Mid and SW Wales)'!X7)</f>
        <v>85398.766074592626</v>
      </c>
      <c r="AF7" s="4">
        <f>IF('Tenure Split (WALES)'!$D$18="Land Registry Data",'House Prices (Mid and SW Wales)'!G7,'House Prices (Mid and SW Wales)'!Y7)</f>
        <v>88729.24694422647</v>
      </c>
      <c r="AG7" s="4">
        <f>IF('Tenure Split (WALES)'!$D$18="Land Registry Data",'House Prices (Mid and SW Wales)'!H7,'House Prices (Mid and SW Wales)'!Z7)</f>
        <v>92409.729355389063</v>
      </c>
    </row>
    <row r="8" spans="2:33" x14ac:dyDescent="0.25">
      <c r="B8" s="20">
        <v>14</v>
      </c>
      <c r="C8" s="58">
        <v>83000</v>
      </c>
      <c r="D8" s="59">
        <f>C8*(1+'Tenure Split (Mid and SW Wales)'!C$118)</f>
        <v>85357.663579326836</v>
      </c>
      <c r="E8" s="59">
        <f>D8*(1+'Tenure Split (Mid and SW Wales)'!D$118)</f>
        <v>85547.717089945829</v>
      </c>
      <c r="F8" s="59">
        <f>E8*(1+'Tenure Split (Mid and SW Wales)'!E$118)</f>
        <v>87389.078663157707</v>
      </c>
      <c r="G8" s="59">
        <f>F8*(1+'Tenure Split (Mid and SW Wales)'!F$118)</f>
        <v>90797.180068842601</v>
      </c>
      <c r="H8" s="59">
        <f>G8*(1+'Tenure Split (Mid and SW Wales)'!G$118)</f>
        <v>94563.440188649489</v>
      </c>
      <c r="L8" s="64" t="str">
        <f t="shared" si="0"/>
        <v/>
      </c>
      <c r="M8" s="264"/>
      <c r="N8" s="14">
        <f t="shared" si="3"/>
        <v>1</v>
      </c>
      <c r="T8" s="1">
        <f t="shared" si="1"/>
        <v>14</v>
      </c>
      <c r="U8" s="4" t="str">
        <f t="shared" si="2"/>
        <v/>
      </c>
      <c r="V8" s="4" t="e">
        <f>IF($V$3=$M$3,M8,U8*(1+'Tenure Split (WALES)'!C$118))</f>
        <v>#VALUE!</v>
      </c>
      <c r="W8" s="4" t="e">
        <f>V8*(1+'Tenure Split (WALES)'!D$118)</f>
        <v>#VALUE!</v>
      </c>
      <c r="X8" s="4" t="e">
        <f>W8*(1+'Tenure Split (WALES)'!E$118)</f>
        <v>#VALUE!</v>
      </c>
      <c r="Y8" s="4" t="e">
        <f>X8*(1+'Tenure Split (WALES)'!F$118)</f>
        <v>#VALUE!</v>
      </c>
      <c r="Z8" s="4" t="e">
        <f>Y8*(1+'Tenure Split (WALES)'!G$118)</f>
        <v>#VALUE!</v>
      </c>
      <c r="AB8" s="1">
        <v>14</v>
      </c>
      <c r="AC8" s="4">
        <f>IF('Tenure Split (WALES)'!$D$18="Land Registry Data",'House Prices (Mid and SW Wales)'!D8,'House Prices (Mid and SW Wales)'!V8)</f>
        <v>85357.663579326836</v>
      </c>
      <c r="AD8" s="4">
        <f>IF('Tenure Split (WALES)'!$D$18="Land Registry Data",'House Prices (Mid and SW Wales)'!E8,'House Prices (Mid and SW Wales)'!W8)</f>
        <v>85547.717089945829</v>
      </c>
      <c r="AE8" s="4">
        <f>IF('Tenure Split (WALES)'!$D$18="Land Registry Data",'House Prices (Mid and SW Wales)'!F8,'House Prices (Mid and SW Wales)'!X8)</f>
        <v>87389.078663157707</v>
      </c>
      <c r="AF8" s="4">
        <f>IF('Tenure Split (WALES)'!$D$18="Land Registry Data",'House Prices (Mid and SW Wales)'!G8,'House Prices (Mid and SW Wales)'!Y8)</f>
        <v>90797.180068842601</v>
      </c>
      <c r="AG8" s="4">
        <f>IF('Tenure Split (WALES)'!$D$18="Land Registry Data",'House Prices (Mid and SW Wales)'!H8,'House Prices (Mid and SW Wales)'!Z8)</f>
        <v>94563.440188649489</v>
      </c>
    </row>
    <row r="9" spans="2:33" x14ac:dyDescent="0.25">
      <c r="B9" s="20">
        <v>15</v>
      </c>
      <c r="C9" s="58">
        <v>85000</v>
      </c>
      <c r="D9" s="59">
        <f>C9*(1+'Tenure Split (Mid and SW Wales)'!C$118)</f>
        <v>87414.474749913032</v>
      </c>
      <c r="E9" s="59">
        <f>D9*(1+'Tenure Split (Mid and SW Wales)'!D$118)</f>
        <v>87609.10786319754</v>
      </c>
      <c r="F9" s="59">
        <f>E9*(1+'Tenure Split (Mid and SW Wales)'!E$118)</f>
        <v>89494.839594800054</v>
      </c>
      <c r="G9" s="59">
        <f>F9*(1+'Tenure Split (Mid and SW Wales)'!F$118)</f>
        <v>92985.063925923139</v>
      </c>
      <c r="H9" s="59">
        <f>G9*(1+'Tenure Split (Mid and SW Wales)'!G$118)</f>
        <v>96842.07730162899</v>
      </c>
      <c r="J9" s="436" t="str">
        <f>IF(J4="","If you would like to use your own house price distribution data, please change your dropdown selection.","")</f>
        <v>If you would like to use your own house price distribution data, please change your dropdown selection.</v>
      </c>
      <c r="L9" s="64" t="str">
        <f t="shared" si="0"/>
        <v/>
      </c>
      <c r="M9" s="264"/>
      <c r="N9" s="14">
        <f t="shared" si="3"/>
        <v>1</v>
      </c>
      <c r="T9" s="1">
        <f t="shared" si="1"/>
        <v>15</v>
      </c>
      <c r="U9" s="4" t="str">
        <f t="shared" si="2"/>
        <v/>
      </c>
      <c r="V9" s="4" t="e">
        <f>IF($V$3=$M$3,M9,U9*(1+'Tenure Split (WALES)'!C$118))</f>
        <v>#VALUE!</v>
      </c>
      <c r="W9" s="4" t="e">
        <f>V9*(1+'Tenure Split (WALES)'!D$118)</f>
        <v>#VALUE!</v>
      </c>
      <c r="X9" s="4" t="e">
        <f>W9*(1+'Tenure Split (WALES)'!E$118)</f>
        <v>#VALUE!</v>
      </c>
      <c r="Y9" s="4" t="e">
        <f>X9*(1+'Tenure Split (WALES)'!F$118)</f>
        <v>#VALUE!</v>
      </c>
      <c r="Z9" s="4" t="e">
        <f>Y9*(1+'Tenure Split (WALES)'!G$118)</f>
        <v>#VALUE!</v>
      </c>
      <c r="AB9" s="1">
        <v>15</v>
      </c>
      <c r="AC9" s="4">
        <f>IF('Tenure Split (WALES)'!$D$18="Land Registry Data",'House Prices (Mid and SW Wales)'!D9,'House Prices (Mid and SW Wales)'!V9)</f>
        <v>87414.474749913032</v>
      </c>
      <c r="AD9" s="4">
        <f>IF('Tenure Split (WALES)'!$D$18="Land Registry Data",'House Prices (Mid and SW Wales)'!E9,'House Prices (Mid and SW Wales)'!W9)</f>
        <v>87609.10786319754</v>
      </c>
      <c r="AE9" s="4">
        <f>IF('Tenure Split (WALES)'!$D$18="Land Registry Data",'House Prices (Mid and SW Wales)'!F9,'House Prices (Mid and SW Wales)'!X9)</f>
        <v>89494.839594800054</v>
      </c>
      <c r="AF9" s="4">
        <f>IF('Tenure Split (WALES)'!$D$18="Land Registry Data",'House Prices (Mid and SW Wales)'!G9,'House Prices (Mid and SW Wales)'!Y9)</f>
        <v>92985.063925923139</v>
      </c>
      <c r="AG9" s="4">
        <f>IF('Tenure Split (WALES)'!$D$18="Land Registry Data",'House Prices (Mid and SW Wales)'!H9,'House Prices (Mid and SW Wales)'!Z9)</f>
        <v>96842.07730162899</v>
      </c>
    </row>
    <row r="10" spans="2:33" x14ac:dyDescent="0.25">
      <c r="B10" s="20">
        <v>16</v>
      </c>
      <c r="C10" s="58">
        <v>86000</v>
      </c>
      <c r="D10" s="59">
        <f>C10*(1+'Tenure Split (Mid and SW Wales)'!C$118)</f>
        <v>88442.880335206122</v>
      </c>
      <c r="E10" s="59">
        <f>D10*(1+'Tenure Split (Mid and SW Wales)'!D$118)</f>
        <v>88639.803249823395</v>
      </c>
      <c r="F10" s="59">
        <f>E10*(1+'Tenure Split (Mid and SW Wales)'!E$118)</f>
        <v>90547.720060621243</v>
      </c>
      <c r="G10" s="59">
        <f>F10*(1+'Tenure Split (Mid and SW Wales)'!F$118)</f>
        <v>94079.005854463423</v>
      </c>
      <c r="H10" s="59">
        <f>G10*(1+'Tenure Split (Mid and SW Wales)'!G$118)</f>
        <v>97981.395858118747</v>
      </c>
      <c r="J10" s="436"/>
      <c r="L10" s="64" t="str">
        <f t="shared" si="0"/>
        <v/>
      </c>
      <c r="M10" s="264"/>
      <c r="N10" s="14">
        <f t="shared" si="3"/>
        <v>1</v>
      </c>
      <c r="T10" s="1">
        <f t="shared" si="1"/>
        <v>16</v>
      </c>
      <c r="U10" s="4" t="str">
        <f t="shared" si="2"/>
        <v/>
      </c>
      <c r="V10" s="4" t="e">
        <f>IF($V$3=$M$3,M10,U10*(1+'Tenure Split (WALES)'!C$118))</f>
        <v>#VALUE!</v>
      </c>
      <c r="W10" s="4" t="e">
        <f>V10*(1+'Tenure Split (WALES)'!D$118)</f>
        <v>#VALUE!</v>
      </c>
      <c r="X10" s="4" t="e">
        <f>W10*(1+'Tenure Split (WALES)'!E$118)</f>
        <v>#VALUE!</v>
      </c>
      <c r="Y10" s="4" t="e">
        <f>X10*(1+'Tenure Split (WALES)'!F$118)</f>
        <v>#VALUE!</v>
      </c>
      <c r="Z10" s="4" t="e">
        <f>Y10*(1+'Tenure Split (WALES)'!G$118)</f>
        <v>#VALUE!</v>
      </c>
      <c r="AB10" s="1">
        <v>16</v>
      </c>
      <c r="AC10" s="4">
        <f>IF('Tenure Split (WALES)'!$D$18="Land Registry Data",'House Prices (Mid and SW Wales)'!D10,'House Prices (Mid and SW Wales)'!V10)</f>
        <v>88442.880335206122</v>
      </c>
      <c r="AD10" s="4">
        <f>IF('Tenure Split (WALES)'!$D$18="Land Registry Data",'House Prices (Mid and SW Wales)'!E10,'House Prices (Mid and SW Wales)'!W10)</f>
        <v>88639.803249823395</v>
      </c>
      <c r="AE10" s="4">
        <f>IF('Tenure Split (WALES)'!$D$18="Land Registry Data",'House Prices (Mid and SW Wales)'!F10,'House Prices (Mid and SW Wales)'!X10)</f>
        <v>90547.720060621243</v>
      </c>
      <c r="AF10" s="4">
        <f>IF('Tenure Split (WALES)'!$D$18="Land Registry Data",'House Prices (Mid and SW Wales)'!G10,'House Prices (Mid and SW Wales)'!Y10)</f>
        <v>94079.005854463423</v>
      </c>
      <c r="AG10" s="4">
        <f>IF('Tenure Split (WALES)'!$D$18="Land Registry Data",'House Prices (Mid and SW Wales)'!H10,'House Prices (Mid and SW Wales)'!Z10)</f>
        <v>97981.395858118747</v>
      </c>
    </row>
    <row r="11" spans="2:33" x14ac:dyDescent="0.25">
      <c r="B11" s="20">
        <v>17</v>
      </c>
      <c r="C11" s="58">
        <v>89000</v>
      </c>
      <c r="D11" s="59">
        <f>C11*(1+'Tenure Split (Mid and SW Wales)'!C$118)</f>
        <v>91528.097091085408</v>
      </c>
      <c r="E11" s="59">
        <f>D11*(1+'Tenure Split (Mid and SW Wales)'!D$118)</f>
        <v>91731.889409700962</v>
      </c>
      <c r="F11" s="59">
        <f>E11*(1+'Tenure Split (Mid and SW Wales)'!E$118)</f>
        <v>93706.361458084779</v>
      </c>
      <c r="G11" s="59">
        <f>F11*(1+'Tenure Split (Mid and SW Wales)'!F$118)</f>
        <v>97360.831640084245</v>
      </c>
      <c r="H11" s="59">
        <f>G11*(1+'Tenure Split (Mid and SW Wales)'!G$118)</f>
        <v>101399.35152758802</v>
      </c>
      <c r="L11" s="64" t="str">
        <f t="shared" si="0"/>
        <v/>
      </c>
      <c r="M11" s="264"/>
      <c r="N11" s="14">
        <f t="shared" si="3"/>
        <v>1</v>
      </c>
      <c r="T11" s="1">
        <f t="shared" si="1"/>
        <v>17</v>
      </c>
      <c r="U11" s="4" t="str">
        <f t="shared" si="2"/>
        <v/>
      </c>
      <c r="V11" s="4" t="e">
        <f>IF($V$3=$M$3,M11,U11*(1+'Tenure Split (WALES)'!C$118))</f>
        <v>#VALUE!</v>
      </c>
      <c r="W11" s="4" t="e">
        <f>V11*(1+'Tenure Split (WALES)'!D$118)</f>
        <v>#VALUE!</v>
      </c>
      <c r="X11" s="4" t="e">
        <f>W11*(1+'Tenure Split (WALES)'!E$118)</f>
        <v>#VALUE!</v>
      </c>
      <c r="Y11" s="4" t="e">
        <f>X11*(1+'Tenure Split (WALES)'!F$118)</f>
        <v>#VALUE!</v>
      </c>
      <c r="Z11" s="4" t="e">
        <f>Y11*(1+'Tenure Split (WALES)'!G$118)</f>
        <v>#VALUE!</v>
      </c>
      <c r="AB11" s="1">
        <v>17</v>
      </c>
      <c r="AC11" s="4">
        <f>IF('Tenure Split (WALES)'!$D$18="Land Registry Data",'House Prices (Mid and SW Wales)'!D11,'House Prices (Mid and SW Wales)'!V11)</f>
        <v>91528.097091085408</v>
      </c>
      <c r="AD11" s="4">
        <f>IF('Tenure Split (WALES)'!$D$18="Land Registry Data",'House Prices (Mid and SW Wales)'!E11,'House Prices (Mid and SW Wales)'!W11)</f>
        <v>91731.889409700962</v>
      </c>
      <c r="AE11" s="4">
        <f>IF('Tenure Split (WALES)'!$D$18="Land Registry Data",'House Prices (Mid and SW Wales)'!F11,'House Prices (Mid and SW Wales)'!X11)</f>
        <v>93706.361458084779</v>
      </c>
      <c r="AF11" s="4">
        <f>IF('Tenure Split (WALES)'!$D$18="Land Registry Data",'House Prices (Mid and SW Wales)'!G11,'House Prices (Mid and SW Wales)'!Y11)</f>
        <v>97360.831640084245</v>
      </c>
      <c r="AG11" s="4">
        <f>IF('Tenure Split (WALES)'!$D$18="Land Registry Data",'House Prices (Mid and SW Wales)'!H11,'House Prices (Mid and SW Wales)'!Z11)</f>
        <v>101399.35152758802</v>
      </c>
    </row>
    <row r="12" spans="2:33" x14ac:dyDescent="0.25">
      <c r="B12" s="20">
        <v>18</v>
      </c>
      <c r="C12" s="58">
        <v>90000</v>
      </c>
      <c r="D12" s="59">
        <f>C12*(1+'Tenure Split (Mid and SW Wales)'!C$118)</f>
        <v>92556.502676378499</v>
      </c>
      <c r="E12" s="59">
        <f>D12*(1+'Tenure Split (Mid and SW Wales)'!D$118)</f>
        <v>92762.584796326802</v>
      </c>
      <c r="F12" s="59">
        <f>E12*(1+'Tenure Split (Mid and SW Wales)'!E$118)</f>
        <v>94759.241923905938</v>
      </c>
      <c r="G12" s="59">
        <f>F12*(1+'Tenure Split (Mid and SW Wales)'!F$118)</f>
        <v>98454.773568624485</v>
      </c>
      <c r="H12" s="59">
        <f>G12*(1+'Tenure Split (Mid and SW Wales)'!G$118)</f>
        <v>102538.67008407773</v>
      </c>
      <c r="L12" s="64" t="str">
        <f t="shared" si="0"/>
        <v/>
      </c>
      <c r="M12" s="264"/>
      <c r="N12" s="14">
        <f t="shared" si="3"/>
        <v>1</v>
      </c>
      <c r="T12" s="1">
        <f t="shared" si="1"/>
        <v>18</v>
      </c>
      <c r="U12" s="4" t="str">
        <f t="shared" si="2"/>
        <v/>
      </c>
      <c r="V12" s="4" t="e">
        <f>IF($V$3=$M$3,M12,U12*(1+'Tenure Split (WALES)'!C$118))</f>
        <v>#VALUE!</v>
      </c>
      <c r="W12" s="4" t="e">
        <f>V12*(1+'Tenure Split (WALES)'!D$118)</f>
        <v>#VALUE!</v>
      </c>
      <c r="X12" s="4" t="e">
        <f>W12*(1+'Tenure Split (WALES)'!E$118)</f>
        <v>#VALUE!</v>
      </c>
      <c r="Y12" s="4" t="e">
        <f>X12*(1+'Tenure Split (WALES)'!F$118)</f>
        <v>#VALUE!</v>
      </c>
      <c r="Z12" s="4" t="e">
        <f>Y12*(1+'Tenure Split (WALES)'!G$118)</f>
        <v>#VALUE!</v>
      </c>
      <c r="AB12" s="1">
        <v>18</v>
      </c>
      <c r="AC12" s="4">
        <f>IF('Tenure Split (WALES)'!$D$18="Land Registry Data",'House Prices (Mid and SW Wales)'!D12,'House Prices (Mid and SW Wales)'!V12)</f>
        <v>92556.502676378499</v>
      </c>
      <c r="AD12" s="4">
        <f>IF('Tenure Split (WALES)'!$D$18="Land Registry Data",'House Prices (Mid and SW Wales)'!E12,'House Prices (Mid and SW Wales)'!W12)</f>
        <v>92762.584796326802</v>
      </c>
      <c r="AE12" s="4">
        <f>IF('Tenure Split (WALES)'!$D$18="Land Registry Data",'House Prices (Mid and SW Wales)'!F12,'House Prices (Mid and SW Wales)'!X12)</f>
        <v>94759.241923905938</v>
      </c>
      <c r="AF12" s="4">
        <f>IF('Tenure Split (WALES)'!$D$18="Land Registry Data",'House Prices (Mid and SW Wales)'!G12,'House Prices (Mid and SW Wales)'!Y12)</f>
        <v>98454.773568624485</v>
      </c>
      <c r="AG12" s="4">
        <f>IF('Tenure Split (WALES)'!$D$18="Land Registry Data",'House Prices (Mid and SW Wales)'!H12,'House Prices (Mid and SW Wales)'!Z12)</f>
        <v>102538.67008407773</v>
      </c>
    </row>
    <row r="13" spans="2:33" x14ac:dyDescent="0.25">
      <c r="B13" s="20">
        <v>19</v>
      </c>
      <c r="C13" s="58">
        <v>92000</v>
      </c>
      <c r="D13" s="59">
        <f>C13*(1+'Tenure Split (Mid and SW Wales)'!C$118)</f>
        <v>94613.313846964695</v>
      </c>
      <c r="E13" s="59">
        <f>D13*(1+'Tenure Split (Mid and SW Wales)'!D$118)</f>
        <v>94823.975569578513</v>
      </c>
      <c r="F13" s="59">
        <f>E13*(1+'Tenure Split (Mid and SW Wales)'!E$118)</f>
        <v>96865.0028555483</v>
      </c>
      <c r="G13" s="59">
        <f>F13*(1+'Tenure Split (Mid and SW Wales)'!F$118)</f>
        <v>100642.65742570504</v>
      </c>
      <c r="H13" s="59">
        <f>G13*(1+'Tenure Split (Mid and SW Wales)'!G$118)</f>
        <v>104817.30719705725</v>
      </c>
      <c r="L13" s="64" t="str">
        <f t="shared" si="0"/>
        <v/>
      </c>
      <c r="M13" s="264"/>
      <c r="N13" s="14">
        <f t="shared" si="3"/>
        <v>1</v>
      </c>
      <c r="T13" s="1">
        <f t="shared" si="1"/>
        <v>19</v>
      </c>
      <c r="U13" s="4" t="str">
        <f t="shared" si="2"/>
        <v/>
      </c>
      <c r="V13" s="4" t="e">
        <f>IF($V$3=$M$3,M13,U13*(1+'Tenure Split (WALES)'!C$118))</f>
        <v>#VALUE!</v>
      </c>
      <c r="W13" s="4" t="e">
        <f>V13*(1+'Tenure Split (WALES)'!D$118)</f>
        <v>#VALUE!</v>
      </c>
      <c r="X13" s="4" t="e">
        <f>W13*(1+'Tenure Split (WALES)'!E$118)</f>
        <v>#VALUE!</v>
      </c>
      <c r="Y13" s="4" t="e">
        <f>X13*(1+'Tenure Split (WALES)'!F$118)</f>
        <v>#VALUE!</v>
      </c>
      <c r="Z13" s="4" t="e">
        <f>Y13*(1+'Tenure Split (WALES)'!G$118)</f>
        <v>#VALUE!</v>
      </c>
      <c r="AB13" s="1">
        <v>19</v>
      </c>
      <c r="AC13" s="4">
        <f>IF('Tenure Split (WALES)'!$D$18="Land Registry Data",'House Prices (Mid and SW Wales)'!D13,'House Prices (Mid and SW Wales)'!V13)</f>
        <v>94613.313846964695</v>
      </c>
      <c r="AD13" s="4">
        <f>IF('Tenure Split (WALES)'!$D$18="Land Registry Data",'House Prices (Mid and SW Wales)'!E13,'House Prices (Mid and SW Wales)'!W13)</f>
        <v>94823.975569578513</v>
      </c>
      <c r="AE13" s="4">
        <f>IF('Tenure Split (WALES)'!$D$18="Land Registry Data",'House Prices (Mid and SW Wales)'!F13,'House Prices (Mid and SW Wales)'!X13)</f>
        <v>96865.0028555483</v>
      </c>
      <c r="AF13" s="4">
        <f>IF('Tenure Split (WALES)'!$D$18="Land Registry Data",'House Prices (Mid and SW Wales)'!G13,'House Prices (Mid and SW Wales)'!Y13)</f>
        <v>100642.65742570504</v>
      </c>
      <c r="AG13" s="4">
        <f>IF('Tenure Split (WALES)'!$D$18="Land Registry Data",'House Prices (Mid and SW Wales)'!H13,'House Prices (Mid and SW Wales)'!Z13)</f>
        <v>104817.30719705725</v>
      </c>
    </row>
    <row r="14" spans="2:33" x14ac:dyDescent="0.25">
      <c r="B14" s="20">
        <v>20</v>
      </c>
      <c r="C14" s="58">
        <v>94000</v>
      </c>
      <c r="D14" s="59">
        <f>C14*(1+'Tenure Split (Mid and SW Wales)'!C$118)</f>
        <v>96670.125017550876</v>
      </c>
      <c r="E14" s="59">
        <f>D14*(1+'Tenure Split (Mid and SW Wales)'!D$118)</f>
        <v>96885.36634283021</v>
      </c>
      <c r="F14" s="59">
        <f>E14*(1+'Tenure Split (Mid and SW Wales)'!E$118)</f>
        <v>98970.763787190648</v>
      </c>
      <c r="G14" s="59">
        <f>F14*(1+'Tenure Split (Mid and SW Wales)'!F$118)</f>
        <v>102830.54128278558</v>
      </c>
      <c r="H14" s="59">
        <f>G14*(1+'Tenure Split (Mid and SW Wales)'!G$118)</f>
        <v>107095.94431003675</v>
      </c>
      <c r="L14" s="64" t="str">
        <f t="shared" si="0"/>
        <v/>
      </c>
      <c r="M14" s="264"/>
      <c r="N14" s="14">
        <f t="shared" si="3"/>
        <v>1</v>
      </c>
      <c r="T14" s="1">
        <f t="shared" si="1"/>
        <v>20</v>
      </c>
      <c r="U14" s="4" t="str">
        <f t="shared" si="2"/>
        <v/>
      </c>
      <c r="V14" s="4" t="e">
        <f>IF($V$3=$M$3,M14,U14*(1+'Tenure Split (WALES)'!C$118))</f>
        <v>#VALUE!</v>
      </c>
      <c r="W14" s="4" t="e">
        <f>V14*(1+'Tenure Split (WALES)'!D$118)</f>
        <v>#VALUE!</v>
      </c>
      <c r="X14" s="4" t="e">
        <f>W14*(1+'Tenure Split (WALES)'!E$118)</f>
        <v>#VALUE!</v>
      </c>
      <c r="Y14" s="4" t="e">
        <f>X14*(1+'Tenure Split (WALES)'!F$118)</f>
        <v>#VALUE!</v>
      </c>
      <c r="Z14" s="4" t="e">
        <f>Y14*(1+'Tenure Split (WALES)'!G$118)</f>
        <v>#VALUE!</v>
      </c>
      <c r="AB14" s="1">
        <v>20</v>
      </c>
      <c r="AC14" s="4">
        <f>IF('Tenure Split (WALES)'!$D$18="Land Registry Data",'House Prices (Mid and SW Wales)'!D14,'House Prices (Mid and SW Wales)'!V14)</f>
        <v>96670.125017550876</v>
      </c>
      <c r="AD14" s="4">
        <f>IF('Tenure Split (WALES)'!$D$18="Land Registry Data",'House Prices (Mid and SW Wales)'!E14,'House Prices (Mid and SW Wales)'!W14)</f>
        <v>96885.36634283021</v>
      </c>
      <c r="AE14" s="4">
        <f>IF('Tenure Split (WALES)'!$D$18="Land Registry Data",'House Prices (Mid and SW Wales)'!F14,'House Prices (Mid and SW Wales)'!X14)</f>
        <v>98970.763787190648</v>
      </c>
      <c r="AF14" s="4">
        <f>IF('Tenure Split (WALES)'!$D$18="Land Registry Data",'House Prices (Mid and SW Wales)'!G14,'House Prices (Mid and SW Wales)'!Y14)</f>
        <v>102830.54128278558</v>
      </c>
      <c r="AG14" s="4">
        <f>IF('Tenure Split (WALES)'!$D$18="Land Registry Data",'House Prices (Mid and SW Wales)'!H14,'House Prices (Mid and SW Wales)'!Z14)</f>
        <v>107095.94431003675</v>
      </c>
    </row>
    <row r="15" spans="2:33" x14ac:dyDescent="0.25">
      <c r="B15" s="20">
        <v>21</v>
      </c>
      <c r="C15" s="58">
        <v>95000</v>
      </c>
      <c r="D15" s="59">
        <f>C15*(1+'Tenure Split (Mid and SW Wales)'!C$118)</f>
        <v>97698.530602843966</v>
      </c>
      <c r="E15" s="59">
        <f>D15*(1+'Tenure Split (Mid and SW Wales)'!D$118)</f>
        <v>97916.061729456065</v>
      </c>
      <c r="F15" s="59">
        <f>E15*(1+'Tenure Split (Mid and SW Wales)'!E$118)</f>
        <v>100023.64425301182</v>
      </c>
      <c r="G15" s="59">
        <f>F15*(1+'Tenure Split (Mid and SW Wales)'!F$118)</f>
        <v>103924.48321132585</v>
      </c>
      <c r="H15" s="59">
        <f>G15*(1+'Tenure Split (Mid and SW Wales)'!G$118)</f>
        <v>108235.26286652649</v>
      </c>
      <c r="L15" s="64" t="str">
        <f t="shared" si="0"/>
        <v/>
      </c>
      <c r="M15" s="264"/>
      <c r="N15" s="14">
        <f t="shared" si="3"/>
        <v>1</v>
      </c>
      <c r="T15" s="1">
        <f t="shared" si="1"/>
        <v>21</v>
      </c>
      <c r="U15" s="4" t="str">
        <f t="shared" si="2"/>
        <v/>
      </c>
      <c r="V15" s="4" t="e">
        <f>IF($V$3=$M$3,M15,U15*(1+'Tenure Split (WALES)'!C$118))</f>
        <v>#VALUE!</v>
      </c>
      <c r="W15" s="4" t="e">
        <f>V15*(1+'Tenure Split (WALES)'!D$118)</f>
        <v>#VALUE!</v>
      </c>
      <c r="X15" s="4" t="e">
        <f>W15*(1+'Tenure Split (WALES)'!E$118)</f>
        <v>#VALUE!</v>
      </c>
      <c r="Y15" s="4" t="e">
        <f>X15*(1+'Tenure Split (WALES)'!F$118)</f>
        <v>#VALUE!</v>
      </c>
      <c r="Z15" s="4" t="e">
        <f>Y15*(1+'Tenure Split (WALES)'!G$118)</f>
        <v>#VALUE!</v>
      </c>
      <c r="AB15" s="1">
        <v>21</v>
      </c>
      <c r="AC15" s="4">
        <f>IF('Tenure Split (WALES)'!$D$18="Land Registry Data",'House Prices (Mid and SW Wales)'!D15,'House Prices (Mid and SW Wales)'!V15)</f>
        <v>97698.530602843966</v>
      </c>
      <c r="AD15" s="4">
        <f>IF('Tenure Split (WALES)'!$D$18="Land Registry Data",'House Prices (Mid and SW Wales)'!E15,'House Prices (Mid and SW Wales)'!W15)</f>
        <v>97916.061729456065</v>
      </c>
      <c r="AE15" s="4">
        <f>IF('Tenure Split (WALES)'!$D$18="Land Registry Data",'House Prices (Mid and SW Wales)'!F15,'House Prices (Mid and SW Wales)'!X15)</f>
        <v>100023.64425301182</v>
      </c>
      <c r="AF15" s="4">
        <f>IF('Tenure Split (WALES)'!$D$18="Land Registry Data",'House Prices (Mid and SW Wales)'!G15,'House Prices (Mid and SW Wales)'!Y15)</f>
        <v>103924.48321132585</v>
      </c>
      <c r="AG15" s="4">
        <f>IF('Tenure Split (WALES)'!$D$18="Land Registry Data",'House Prices (Mid and SW Wales)'!H15,'House Prices (Mid and SW Wales)'!Z15)</f>
        <v>108235.26286652649</v>
      </c>
    </row>
    <row r="16" spans="2:33" x14ac:dyDescent="0.25">
      <c r="B16" s="20">
        <v>22</v>
      </c>
      <c r="C16" s="58">
        <v>97000</v>
      </c>
      <c r="D16" s="59">
        <f>C16*(1+'Tenure Split (Mid and SW Wales)'!C$118)</f>
        <v>99755.341773430162</v>
      </c>
      <c r="E16" s="59">
        <f>D16*(1+'Tenure Split (Mid and SW Wales)'!D$118)</f>
        <v>99977.452502707776</v>
      </c>
      <c r="F16" s="59">
        <f>E16*(1+'Tenure Split (Mid and SW Wales)'!E$118)</f>
        <v>102129.40518465418</v>
      </c>
      <c r="G16" s="59">
        <f>F16*(1+'Tenure Split (Mid and SW Wales)'!F$118)</f>
        <v>106112.3670684064</v>
      </c>
      <c r="H16" s="59">
        <f>G16*(1+'Tenure Split (Mid and SW Wales)'!G$118)</f>
        <v>110513.89997950601</v>
      </c>
      <c r="L16" s="64" t="str">
        <f t="shared" si="0"/>
        <v/>
      </c>
      <c r="M16" s="264"/>
      <c r="N16" s="14">
        <f t="shared" si="3"/>
        <v>1</v>
      </c>
      <c r="T16" s="1">
        <f t="shared" si="1"/>
        <v>22</v>
      </c>
      <c r="U16" s="4" t="str">
        <f t="shared" si="2"/>
        <v/>
      </c>
      <c r="V16" s="4" t="e">
        <f>IF($V$3=$M$3,M16,U16*(1+'Tenure Split (WALES)'!C$118))</f>
        <v>#VALUE!</v>
      </c>
      <c r="W16" s="4" t="e">
        <f>V16*(1+'Tenure Split (WALES)'!D$118)</f>
        <v>#VALUE!</v>
      </c>
      <c r="X16" s="4" t="e">
        <f>W16*(1+'Tenure Split (WALES)'!E$118)</f>
        <v>#VALUE!</v>
      </c>
      <c r="Y16" s="4" t="e">
        <f>X16*(1+'Tenure Split (WALES)'!F$118)</f>
        <v>#VALUE!</v>
      </c>
      <c r="Z16" s="4" t="e">
        <f>Y16*(1+'Tenure Split (WALES)'!G$118)</f>
        <v>#VALUE!</v>
      </c>
      <c r="AB16" s="1">
        <v>22</v>
      </c>
      <c r="AC16" s="4">
        <f>IF('Tenure Split (WALES)'!$D$18="Land Registry Data",'House Prices (Mid and SW Wales)'!D16,'House Prices (Mid and SW Wales)'!V16)</f>
        <v>99755.341773430162</v>
      </c>
      <c r="AD16" s="4">
        <f>IF('Tenure Split (WALES)'!$D$18="Land Registry Data",'House Prices (Mid and SW Wales)'!E16,'House Prices (Mid and SW Wales)'!W16)</f>
        <v>99977.452502707776</v>
      </c>
      <c r="AE16" s="4">
        <f>IF('Tenure Split (WALES)'!$D$18="Land Registry Data",'House Prices (Mid and SW Wales)'!F16,'House Prices (Mid and SW Wales)'!X16)</f>
        <v>102129.40518465418</v>
      </c>
      <c r="AF16" s="4">
        <f>IF('Tenure Split (WALES)'!$D$18="Land Registry Data",'House Prices (Mid and SW Wales)'!G16,'House Prices (Mid and SW Wales)'!Y16)</f>
        <v>106112.3670684064</v>
      </c>
      <c r="AG16" s="4">
        <f>IF('Tenure Split (WALES)'!$D$18="Land Registry Data",'House Prices (Mid and SW Wales)'!H16,'House Prices (Mid and SW Wales)'!Z16)</f>
        <v>110513.89997950601</v>
      </c>
    </row>
    <row r="17" spans="2:33" x14ac:dyDescent="0.25">
      <c r="B17" s="20">
        <v>23</v>
      </c>
      <c r="C17" s="58">
        <v>99950</v>
      </c>
      <c r="D17" s="59">
        <f>C17*(1+'Tenure Split (Mid and SW Wales)'!C$118)</f>
        <v>102789.13825004479</v>
      </c>
      <c r="E17" s="59">
        <f>D17*(1+'Tenure Split (Mid and SW Wales)'!D$118)</f>
        <v>103018.00389325405</v>
      </c>
      <c r="F17" s="59">
        <f>E17*(1+'Tenure Split (Mid and SW Wales)'!E$118)</f>
        <v>105235.40255882665</v>
      </c>
      <c r="G17" s="59">
        <f>F17*(1+'Tenure Split (Mid and SW Wales)'!F$118)</f>
        <v>109339.49575760021</v>
      </c>
      <c r="H17" s="59">
        <f>G17*(1+'Tenure Split (Mid and SW Wales)'!G$118)</f>
        <v>113874.88972115079</v>
      </c>
      <c r="L17" s="64" t="str">
        <f t="shared" si="0"/>
        <v/>
      </c>
      <c r="M17" s="264"/>
      <c r="N17" s="14">
        <f t="shared" si="3"/>
        <v>1</v>
      </c>
      <c r="T17" s="1">
        <f t="shared" si="1"/>
        <v>23</v>
      </c>
      <c r="U17" s="4" t="str">
        <f t="shared" si="2"/>
        <v/>
      </c>
      <c r="V17" s="4" t="e">
        <f>IF($V$3=$M$3,M17,U17*(1+'Tenure Split (WALES)'!C$118))</f>
        <v>#VALUE!</v>
      </c>
      <c r="W17" s="4" t="e">
        <f>V17*(1+'Tenure Split (WALES)'!D$118)</f>
        <v>#VALUE!</v>
      </c>
      <c r="X17" s="4" t="e">
        <f>W17*(1+'Tenure Split (WALES)'!E$118)</f>
        <v>#VALUE!</v>
      </c>
      <c r="Y17" s="4" t="e">
        <f>X17*(1+'Tenure Split (WALES)'!F$118)</f>
        <v>#VALUE!</v>
      </c>
      <c r="Z17" s="4" t="e">
        <f>Y17*(1+'Tenure Split (WALES)'!G$118)</f>
        <v>#VALUE!</v>
      </c>
      <c r="AB17" s="1">
        <v>23</v>
      </c>
      <c r="AC17" s="4">
        <f>IF('Tenure Split (WALES)'!$D$18="Land Registry Data",'House Prices (Mid and SW Wales)'!D17,'House Prices (Mid and SW Wales)'!V17)</f>
        <v>102789.13825004479</v>
      </c>
      <c r="AD17" s="4">
        <f>IF('Tenure Split (WALES)'!$D$18="Land Registry Data",'House Prices (Mid and SW Wales)'!E17,'House Prices (Mid and SW Wales)'!W17)</f>
        <v>103018.00389325405</v>
      </c>
      <c r="AE17" s="4">
        <f>IF('Tenure Split (WALES)'!$D$18="Land Registry Data",'House Prices (Mid and SW Wales)'!F17,'House Prices (Mid and SW Wales)'!X17)</f>
        <v>105235.40255882665</v>
      </c>
      <c r="AF17" s="4">
        <f>IF('Tenure Split (WALES)'!$D$18="Land Registry Data",'House Prices (Mid and SW Wales)'!G17,'House Prices (Mid and SW Wales)'!Y17)</f>
        <v>109339.49575760021</v>
      </c>
      <c r="AG17" s="4">
        <f>IF('Tenure Split (WALES)'!$D$18="Land Registry Data",'House Prices (Mid and SW Wales)'!H17,'House Prices (Mid and SW Wales)'!Z17)</f>
        <v>113874.88972115079</v>
      </c>
    </row>
    <row r="18" spans="2:33" x14ac:dyDescent="0.25">
      <c r="B18" s="20">
        <v>24</v>
      </c>
      <c r="C18" s="58">
        <v>100000</v>
      </c>
      <c r="D18" s="59">
        <f>C18*(1+'Tenure Split (Mid and SW Wales)'!C$118)</f>
        <v>102840.55852930945</v>
      </c>
      <c r="E18" s="59">
        <f>D18*(1+'Tenure Split (Mid and SW Wales)'!D$118)</f>
        <v>103069.53866258534</v>
      </c>
      <c r="F18" s="59">
        <f>E18*(1+'Tenure Split (Mid and SW Wales)'!E$118)</f>
        <v>105288.04658211772</v>
      </c>
      <c r="G18" s="59">
        <f>F18*(1+'Tenure Split (Mid and SW Wales)'!F$118)</f>
        <v>109394.19285402722</v>
      </c>
      <c r="H18" s="59">
        <f>G18*(1+'Tenure Split (Mid and SW Wales)'!G$118)</f>
        <v>113931.85564897528</v>
      </c>
      <c r="L18" s="64" t="str">
        <f t="shared" si="0"/>
        <v/>
      </c>
      <c r="M18" s="264"/>
      <c r="N18" s="14">
        <f t="shared" si="3"/>
        <v>1</v>
      </c>
      <c r="T18" s="1">
        <f t="shared" si="1"/>
        <v>24</v>
      </c>
      <c r="U18" s="4" t="str">
        <f t="shared" si="2"/>
        <v/>
      </c>
      <c r="V18" s="4" t="e">
        <f>IF($V$3=$M$3,M18,U18*(1+'Tenure Split (WALES)'!C$118))</f>
        <v>#VALUE!</v>
      </c>
      <c r="W18" s="4" t="e">
        <f>V18*(1+'Tenure Split (WALES)'!D$118)</f>
        <v>#VALUE!</v>
      </c>
      <c r="X18" s="4" t="e">
        <f>W18*(1+'Tenure Split (WALES)'!E$118)</f>
        <v>#VALUE!</v>
      </c>
      <c r="Y18" s="4" t="e">
        <f>X18*(1+'Tenure Split (WALES)'!F$118)</f>
        <v>#VALUE!</v>
      </c>
      <c r="Z18" s="4" t="e">
        <f>Y18*(1+'Tenure Split (WALES)'!G$118)</f>
        <v>#VALUE!</v>
      </c>
      <c r="AB18" s="1">
        <v>24</v>
      </c>
      <c r="AC18" s="4">
        <f>IF('Tenure Split (WALES)'!$D$18="Land Registry Data",'House Prices (Mid and SW Wales)'!D18,'House Prices (Mid and SW Wales)'!V18)</f>
        <v>102840.55852930945</v>
      </c>
      <c r="AD18" s="4">
        <f>IF('Tenure Split (WALES)'!$D$18="Land Registry Data",'House Prices (Mid and SW Wales)'!E18,'House Prices (Mid and SW Wales)'!W18)</f>
        <v>103069.53866258534</v>
      </c>
      <c r="AE18" s="4">
        <f>IF('Tenure Split (WALES)'!$D$18="Land Registry Data",'House Prices (Mid and SW Wales)'!F18,'House Prices (Mid and SW Wales)'!X18)</f>
        <v>105288.04658211772</v>
      </c>
      <c r="AF18" s="4">
        <f>IF('Tenure Split (WALES)'!$D$18="Land Registry Data",'House Prices (Mid and SW Wales)'!G18,'House Prices (Mid and SW Wales)'!Y18)</f>
        <v>109394.19285402722</v>
      </c>
      <c r="AG18" s="4">
        <f>IF('Tenure Split (WALES)'!$D$18="Land Registry Data",'House Prices (Mid and SW Wales)'!H18,'House Prices (Mid and SW Wales)'!Z18)</f>
        <v>113931.85564897528</v>
      </c>
    </row>
    <row r="19" spans="2:33" x14ac:dyDescent="0.25">
      <c r="B19" s="20">
        <v>25</v>
      </c>
      <c r="C19" s="58">
        <v>102500</v>
      </c>
      <c r="D19" s="59">
        <f>C19*(1+'Tenure Split (Mid and SW Wales)'!C$118)</f>
        <v>105411.57249254218</v>
      </c>
      <c r="E19" s="59">
        <f>D19*(1+'Tenure Split (Mid and SW Wales)'!D$118)</f>
        <v>105646.27712914997</v>
      </c>
      <c r="F19" s="59">
        <f>E19*(1+'Tenure Split (Mid and SW Wales)'!E$118)</f>
        <v>107920.24774667065</v>
      </c>
      <c r="G19" s="59">
        <f>F19*(1+'Tenure Split (Mid and SW Wales)'!F$118)</f>
        <v>112129.04767537789</v>
      </c>
      <c r="H19" s="59">
        <f>G19*(1+'Tenure Split (Mid and SW Wales)'!G$118)</f>
        <v>116780.15204019965</v>
      </c>
      <c r="L19" s="64" t="str">
        <f t="shared" si="0"/>
        <v/>
      </c>
      <c r="M19" s="264"/>
      <c r="N19" s="14">
        <f t="shared" si="3"/>
        <v>1</v>
      </c>
      <c r="T19" s="1">
        <f t="shared" si="1"/>
        <v>25</v>
      </c>
      <c r="U19" s="4" t="str">
        <f t="shared" si="2"/>
        <v/>
      </c>
      <c r="V19" s="4" t="e">
        <f>IF($V$3=$M$3,M19,U19*(1+'Tenure Split (WALES)'!C$118))</f>
        <v>#VALUE!</v>
      </c>
      <c r="W19" s="4" t="e">
        <f>V19*(1+'Tenure Split (WALES)'!D$118)</f>
        <v>#VALUE!</v>
      </c>
      <c r="X19" s="4" t="e">
        <f>W19*(1+'Tenure Split (WALES)'!E$118)</f>
        <v>#VALUE!</v>
      </c>
      <c r="Y19" s="4" t="e">
        <f>X19*(1+'Tenure Split (WALES)'!F$118)</f>
        <v>#VALUE!</v>
      </c>
      <c r="Z19" s="4" t="e">
        <f>Y19*(1+'Tenure Split (WALES)'!G$118)</f>
        <v>#VALUE!</v>
      </c>
      <c r="AB19" s="1">
        <v>25</v>
      </c>
      <c r="AC19" s="4">
        <f>IF('Tenure Split (WALES)'!$D$18="Land Registry Data",'House Prices (Mid and SW Wales)'!D19,'House Prices (Mid and SW Wales)'!V19)</f>
        <v>105411.57249254218</v>
      </c>
      <c r="AD19" s="4">
        <f>IF('Tenure Split (WALES)'!$D$18="Land Registry Data",'House Prices (Mid and SW Wales)'!E19,'House Prices (Mid and SW Wales)'!W19)</f>
        <v>105646.27712914997</v>
      </c>
      <c r="AE19" s="4">
        <f>IF('Tenure Split (WALES)'!$D$18="Land Registry Data",'House Prices (Mid and SW Wales)'!F19,'House Prices (Mid and SW Wales)'!X19)</f>
        <v>107920.24774667065</v>
      </c>
      <c r="AF19" s="4">
        <f>IF('Tenure Split (WALES)'!$D$18="Land Registry Data",'House Prices (Mid and SW Wales)'!G19,'House Prices (Mid and SW Wales)'!Y19)</f>
        <v>112129.04767537789</v>
      </c>
      <c r="AG19" s="4">
        <f>IF('Tenure Split (WALES)'!$D$18="Land Registry Data",'House Prices (Mid and SW Wales)'!H19,'House Prices (Mid and SW Wales)'!Z19)</f>
        <v>116780.15204019965</v>
      </c>
    </row>
    <row r="20" spans="2:33" x14ac:dyDescent="0.25">
      <c r="B20" s="20">
        <v>26</v>
      </c>
      <c r="C20" s="58">
        <v>105000</v>
      </c>
      <c r="D20" s="59">
        <f>C20*(1+'Tenure Split (Mid and SW Wales)'!C$118)</f>
        <v>107982.58645577492</v>
      </c>
      <c r="E20" s="59">
        <f>D20*(1+'Tenure Split (Mid and SW Wales)'!D$118)</f>
        <v>108223.01559571461</v>
      </c>
      <c r="F20" s="59">
        <f>E20*(1+'Tenure Split (Mid and SW Wales)'!E$118)</f>
        <v>110552.4489112236</v>
      </c>
      <c r="G20" s="59">
        <f>F20*(1+'Tenure Split (Mid and SW Wales)'!F$118)</f>
        <v>114863.90249672858</v>
      </c>
      <c r="H20" s="59">
        <f>G20*(1+'Tenure Split (Mid and SW Wales)'!G$118)</f>
        <v>119628.44843142404</v>
      </c>
      <c r="L20" s="64" t="str">
        <f t="shared" si="0"/>
        <v/>
      </c>
      <c r="M20" s="264"/>
      <c r="N20" s="14">
        <f t="shared" si="3"/>
        <v>1</v>
      </c>
      <c r="T20" s="1">
        <f t="shared" si="1"/>
        <v>26</v>
      </c>
      <c r="U20" s="4" t="str">
        <f t="shared" si="2"/>
        <v/>
      </c>
      <c r="V20" s="4" t="e">
        <f>IF($V$3=$M$3,M20,U20*(1+'Tenure Split (WALES)'!C$118))</f>
        <v>#VALUE!</v>
      </c>
      <c r="W20" s="4" t="e">
        <f>V20*(1+'Tenure Split (WALES)'!D$118)</f>
        <v>#VALUE!</v>
      </c>
      <c r="X20" s="4" t="e">
        <f>W20*(1+'Tenure Split (WALES)'!E$118)</f>
        <v>#VALUE!</v>
      </c>
      <c r="Y20" s="4" t="e">
        <f>X20*(1+'Tenure Split (WALES)'!F$118)</f>
        <v>#VALUE!</v>
      </c>
      <c r="Z20" s="4" t="e">
        <f>Y20*(1+'Tenure Split (WALES)'!G$118)</f>
        <v>#VALUE!</v>
      </c>
      <c r="AB20" s="1">
        <v>26</v>
      </c>
      <c r="AC20" s="4">
        <f>IF('Tenure Split (WALES)'!$D$18="Land Registry Data",'House Prices (Mid and SW Wales)'!D20,'House Prices (Mid and SW Wales)'!V20)</f>
        <v>107982.58645577492</v>
      </c>
      <c r="AD20" s="4">
        <f>IF('Tenure Split (WALES)'!$D$18="Land Registry Data",'House Prices (Mid and SW Wales)'!E20,'House Prices (Mid and SW Wales)'!W20)</f>
        <v>108223.01559571461</v>
      </c>
      <c r="AE20" s="4">
        <f>IF('Tenure Split (WALES)'!$D$18="Land Registry Data",'House Prices (Mid and SW Wales)'!F20,'House Prices (Mid and SW Wales)'!X20)</f>
        <v>110552.4489112236</v>
      </c>
      <c r="AF20" s="4">
        <f>IF('Tenure Split (WALES)'!$D$18="Land Registry Data",'House Prices (Mid and SW Wales)'!G20,'House Prices (Mid and SW Wales)'!Y20)</f>
        <v>114863.90249672858</v>
      </c>
      <c r="AG20" s="4">
        <f>IF('Tenure Split (WALES)'!$D$18="Land Registry Data",'House Prices (Mid and SW Wales)'!H20,'House Prices (Mid and SW Wales)'!Z20)</f>
        <v>119628.44843142404</v>
      </c>
    </row>
    <row r="21" spans="2:33" x14ac:dyDescent="0.25">
      <c r="B21" s="20">
        <v>27</v>
      </c>
      <c r="C21" s="58">
        <v>105500</v>
      </c>
      <c r="D21" s="59">
        <f>C21*(1+'Tenure Split (Mid and SW Wales)'!C$118)</f>
        <v>108496.78924842147</v>
      </c>
      <c r="E21" s="59">
        <f>D21*(1+'Tenure Split (Mid and SW Wales)'!D$118)</f>
        <v>108738.36328902753</v>
      </c>
      <c r="F21" s="59">
        <f>E21*(1+'Tenure Split (Mid and SW Wales)'!E$118)</f>
        <v>111078.88914413418</v>
      </c>
      <c r="G21" s="59">
        <f>F21*(1+'Tenure Split (Mid and SW Wales)'!F$118)</f>
        <v>115410.87346099872</v>
      </c>
      <c r="H21" s="59">
        <f>G21*(1+'Tenure Split (Mid and SW Wales)'!G$118)</f>
        <v>120198.10770966891</v>
      </c>
      <c r="L21" s="64" t="str">
        <f t="shared" si="0"/>
        <v/>
      </c>
      <c r="M21" s="264"/>
      <c r="N21" s="14">
        <f t="shared" si="3"/>
        <v>1</v>
      </c>
      <c r="T21" s="1">
        <f t="shared" si="1"/>
        <v>27</v>
      </c>
      <c r="U21" s="4" t="str">
        <f t="shared" si="2"/>
        <v/>
      </c>
      <c r="V21" s="4" t="e">
        <f>IF($V$3=$M$3,M21,U21*(1+'Tenure Split (WALES)'!C$118))</f>
        <v>#VALUE!</v>
      </c>
      <c r="W21" s="4" t="e">
        <f>V21*(1+'Tenure Split (WALES)'!D$118)</f>
        <v>#VALUE!</v>
      </c>
      <c r="X21" s="4" t="e">
        <f>W21*(1+'Tenure Split (WALES)'!E$118)</f>
        <v>#VALUE!</v>
      </c>
      <c r="Y21" s="4" t="e">
        <f>X21*(1+'Tenure Split (WALES)'!F$118)</f>
        <v>#VALUE!</v>
      </c>
      <c r="Z21" s="4" t="e">
        <f>Y21*(1+'Tenure Split (WALES)'!G$118)</f>
        <v>#VALUE!</v>
      </c>
      <c r="AB21" s="1">
        <v>27</v>
      </c>
      <c r="AC21" s="4">
        <f>IF('Tenure Split (WALES)'!$D$18="Land Registry Data",'House Prices (Mid and SW Wales)'!D21,'House Prices (Mid and SW Wales)'!V21)</f>
        <v>108496.78924842147</v>
      </c>
      <c r="AD21" s="4">
        <f>IF('Tenure Split (WALES)'!$D$18="Land Registry Data",'House Prices (Mid and SW Wales)'!E21,'House Prices (Mid and SW Wales)'!W21)</f>
        <v>108738.36328902753</v>
      </c>
      <c r="AE21" s="4">
        <f>IF('Tenure Split (WALES)'!$D$18="Land Registry Data",'House Prices (Mid and SW Wales)'!F21,'House Prices (Mid and SW Wales)'!X21)</f>
        <v>111078.88914413418</v>
      </c>
      <c r="AF21" s="4">
        <f>IF('Tenure Split (WALES)'!$D$18="Land Registry Data",'House Prices (Mid and SW Wales)'!G21,'House Prices (Mid and SW Wales)'!Y21)</f>
        <v>115410.87346099872</v>
      </c>
      <c r="AG21" s="4">
        <f>IF('Tenure Split (WALES)'!$D$18="Land Registry Data",'House Prices (Mid and SW Wales)'!H21,'House Prices (Mid and SW Wales)'!Z21)</f>
        <v>120198.10770966891</v>
      </c>
    </row>
    <row r="22" spans="2:33" x14ac:dyDescent="0.25">
      <c r="B22" s="20">
        <v>28</v>
      </c>
      <c r="C22" s="58">
        <v>108000</v>
      </c>
      <c r="D22" s="59">
        <f>C22*(1+'Tenure Split (Mid and SW Wales)'!C$118)</f>
        <v>111067.8032116542</v>
      </c>
      <c r="E22" s="59">
        <f>D22*(1+'Tenure Split (Mid and SW Wales)'!D$118)</f>
        <v>111315.10175559217</v>
      </c>
      <c r="F22" s="59">
        <f>E22*(1+'Tenure Split (Mid and SW Wales)'!E$118)</f>
        <v>113711.09030868714</v>
      </c>
      <c r="G22" s="59">
        <f>F22*(1+'Tenure Split (Mid and SW Wales)'!F$118)</f>
        <v>118145.7282823494</v>
      </c>
      <c r="H22" s="59">
        <f>G22*(1+'Tenure Split (Mid and SW Wales)'!G$118)</f>
        <v>123046.4041008933</v>
      </c>
      <c r="L22" s="64" t="str">
        <f t="shared" si="0"/>
        <v/>
      </c>
      <c r="M22" s="264"/>
      <c r="N22" s="14">
        <f t="shared" si="3"/>
        <v>1</v>
      </c>
      <c r="T22" s="1">
        <f t="shared" si="1"/>
        <v>28</v>
      </c>
      <c r="U22" s="4" t="str">
        <f t="shared" si="2"/>
        <v/>
      </c>
      <c r="V22" s="4" t="e">
        <f>IF($V$3=$M$3,M22,U22*(1+'Tenure Split (WALES)'!C$118))</f>
        <v>#VALUE!</v>
      </c>
      <c r="W22" s="4" t="e">
        <f>V22*(1+'Tenure Split (WALES)'!D$118)</f>
        <v>#VALUE!</v>
      </c>
      <c r="X22" s="4" t="e">
        <f>W22*(1+'Tenure Split (WALES)'!E$118)</f>
        <v>#VALUE!</v>
      </c>
      <c r="Y22" s="4" t="e">
        <f>X22*(1+'Tenure Split (WALES)'!F$118)</f>
        <v>#VALUE!</v>
      </c>
      <c r="Z22" s="4" t="e">
        <f>Y22*(1+'Tenure Split (WALES)'!G$118)</f>
        <v>#VALUE!</v>
      </c>
      <c r="AB22" s="1">
        <v>28</v>
      </c>
      <c r="AC22" s="4">
        <f>IF('Tenure Split (WALES)'!$D$18="Land Registry Data",'House Prices (Mid and SW Wales)'!D22,'House Prices (Mid and SW Wales)'!V22)</f>
        <v>111067.8032116542</v>
      </c>
      <c r="AD22" s="4">
        <f>IF('Tenure Split (WALES)'!$D$18="Land Registry Data",'House Prices (Mid and SW Wales)'!E22,'House Prices (Mid and SW Wales)'!W22)</f>
        <v>111315.10175559217</v>
      </c>
      <c r="AE22" s="4">
        <f>IF('Tenure Split (WALES)'!$D$18="Land Registry Data",'House Prices (Mid and SW Wales)'!F22,'House Prices (Mid and SW Wales)'!X22)</f>
        <v>113711.09030868714</v>
      </c>
      <c r="AF22" s="4">
        <f>IF('Tenure Split (WALES)'!$D$18="Land Registry Data",'House Prices (Mid and SW Wales)'!G22,'House Prices (Mid and SW Wales)'!Y22)</f>
        <v>118145.7282823494</v>
      </c>
      <c r="AG22" s="4">
        <f>IF('Tenure Split (WALES)'!$D$18="Land Registry Data",'House Prices (Mid and SW Wales)'!H22,'House Prices (Mid and SW Wales)'!Z22)</f>
        <v>123046.4041008933</v>
      </c>
    </row>
    <row r="23" spans="2:33" x14ac:dyDescent="0.25">
      <c r="B23" s="20">
        <v>29</v>
      </c>
      <c r="C23" s="58">
        <v>110000</v>
      </c>
      <c r="D23" s="59">
        <f>C23*(1+'Tenure Split (Mid and SW Wales)'!C$118)</f>
        <v>113124.61438224038</v>
      </c>
      <c r="E23" s="59">
        <f>D23*(1+'Tenure Split (Mid and SW Wales)'!D$118)</f>
        <v>113376.49252884387</v>
      </c>
      <c r="F23" s="59">
        <f>E23*(1+'Tenure Split (Mid and SW Wales)'!E$118)</f>
        <v>115816.85124032947</v>
      </c>
      <c r="G23" s="59">
        <f>F23*(1+'Tenure Split (Mid and SW Wales)'!F$118)</f>
        <v>120333.61213942993</v>
      </c>
      <c r="H23" s="59">
        <f>G23*(1+'Tenure Split (Mid and SW Wales)'!G$118)</f>
        <v>125325.04121387278</v>
      </c>
      <c r="L23" s="64" t="str">
        <f t="shared" si="0"/>
        <v/>
      </c>
      <c r="M23" s="264"/>
      <c r="N23" s="14">
        <f t="shared" si="3"/>
        <v>1</v>
      </c>
      <c r="T23" s="1">
        <f t="shared" si="1"/>
        <v>29</v>
      </c>
      <c r="U23" s="4" t="str">
        <f t="shared" si="2"/>
        <v/>
      </c>
      <c r="V23" s="4" t="e">
        <f>IF($V$3=$M$3,M23,U23*(1+'Tenure Split (WALES)'!C$118))</f>
        <v>#VALUE!</v>
      </c>
      <c r="W23" s="4" t="e">
        <f>V23*(1+'Tenure Split (WALES)'!D$118)</f>
        <v>#VALUE!</v>
      </c>
      <c r="X23" s="4" t="e">
        <f>W23*(1+'Tenure Split (WALES)'!E$118)</f>
        <v>#VALUE!</v>
      </c>
      <c r="Y23" s="4" t="e">
        <f>X23*(1+'Tenure Split (WALES)'!F$118)</f>
        <v>#VALUE!</v>
      </c>
      <c r="Z23" s="4" t="e">
        <f>Y23*(1+'Tenure Split (WALES)'!G$118)</f>
        <v>#VALUE!</v>
      </c>
      <c r="AB23" s="1">
        <v>29</v>
      </c>
      <c r="AC23" s="4">
        <f>IF('Tenure Split (WALES)'!$D$18="Land Registry Data",'House Prices (Mid and SW Wales)'!D23,'House Prices (Mid and SW Wales)'!V23)</f>
        <v>113124.61438224038</v>
      </c>
      <c r="AD23" s="4">
        <f>IF('Tenure Split (WALES)'!$D$18="Land Registry Data",'House Prices (Mid and SW Wales)'!E23,'House Prices (Mid and SW Wales)'!W23)</f>
        <v>113376.49252884387</v>
      </c>
      <c r="AE23" s="4">
        <f>IF('Tenure Split (WALES)'!$D$18="Land Registry Data",'House Prices (Mid and SW Wales)'!F23,'House Prices (Mid and SW Wales)'!X23)</f>
        <v>115816.85124032947</v>
      </c>
      <c r="AF23" s="4">
        <f>IF('Tenure Split (WALES)'!$D$18="Land Registry Data",'House Prices (Mid and SW Wales)'!G23,'House Prices (Mid and SW Wales)'!Y23)</f>
        <v>120333.61213942993</v>
      </c>
      <c r="AG23" s="4">
        <f>IF('Tenure Split (WALES)'!$D$18="Land Registry Data",'House Prices (Mid and SW Wales)'!H23,'House Prices (Mid and SW Wales)'!Z23)</f>
        <v>125325.04121387278</v>
      </c>
    </row>
    <row r="24" spans="2:33" x14ac:dyDescent="0.25">
      <c r="B24" s="20">
        <v>30</v>
      </c>
      <c r="C24" s="58">
        <v>111000</v>
      </c>
      <c r="D24" s="59">
        <f>C24*(1+'Tenure Split (Mid and SW Wales)'!C$118)</f>
        <v>114153.01996753349</v>
      </c>
      <c r="E24" s="59">
        <f>D24*(1+'Tenure Split (Mid and SW Wales)'!D$118)</f>
        <v>114407.18791546972</v>
      </c>
      <c r="F24" s="59">
        <f>E24*(1+'Tenure Split (Mid and SW Wales)'!E$118)</f>
        <v>116869.73170615066</v>
      </c>
      <c r="G24" s="59">
        <f>F24*(1+'Tenure Split (Mid and SW Wales)'!F$118)</f>
        <v>121427.55406797021</v>
      </c>
      <c r="H24" s="59">
        <f>G24*(1+'Tenure Split (Mid and SW Wales)'!G$118)</f>
        <v>126464.35977036256</v>
      </c>
      <c r="L24" s="64" t="str">
        <f t="shared" si="0"/>
        <v/>
      </c>
      <c r="M24" s="264"/>
      <c r="N24" s="14">
        <f t="shared" si="3"/>
        <v>1</v>
      </c>
      <c r="T24" s="1">
        <f t="shared" si="1"/>
        <v>30</v>
      </c>
      <c r="U24" s="4" t="str">
        <f t="shared" si="2"/>
        <v/>
      </c>
      <c r="V24" s="4" t="e">
        <f>IF($V$3=$M$3,M24,U24*(1+'Tenure Split (WALES)'!C$118))</f>
        <v>#VALUE!</v>
      </c>
      <c r="W24" s="4" t="e">
        <f>V24*(1+'Tenure Split (WALES)'!D$118)</f>
        <v>#VALUE!</v>
      </c>
      <c r="X24" s="4" t="e">
        <f>W24*(1+'Tenure Split (WALES)'!E$118)</f>
        <v>#VALUE!</v>
      </c>
      <c r="Y24" s="4" t="e">
        <f>X24*(1+'Tenure Split (WALES)'!F$118)</f>
        <v>#VALUE!</v>
      </c>
      <c r="Z24" s="4" t="e">
        <f>Y24*(1+'Tenure Split (WALES)'!G$118)</f>
        <v>#VALUE!</v>
      </c>
      <c r="AB24" s="1">
        <v>30</v>
      </c>
      <c r="AC24" s="4">
        <f>IF('Tenure Split (WALES)'!$D$18="Land Registry Data",'House Prices (Mid and SW Wales)'!D24,'House Prices (Mid and SW Wales)'!V24)</f>
        <v>114153.01996753349</v>
      </c>
      <c r="AD24" s="4">
        <f>IF('Tenure Split (WALES)'!$D$18="Land Registry Data",'House Prices (Mid and SW Wales)'!E24,'House Prices (Mid and SW Wales)'!W24)</f>
        <v>114407.18791546972</v>
      </c>
      <c r="AE24" s="4">
        <f>IF('Tenure Split (WALES)'!$D$18="Land Registry Data",'House Prices (Mid and SW Wales)'!F24,'House Prices (Mid and SW Wales)'!X24)</f>
        <v>116869.73170615066</v>
      </c>
      <c r="AF24" s="4">
        <f>IF('Tenure Split (WALES)'!$D$18="Land Registry Data",'House Prices (Mid and SW Wales)'!G24,'House Prices (Mid and SW Wales)'!Y24)</f>
        <v>121427.55406797021</v>
      </c>
      <c r="AG24" s="4">
        <f>IF('Tenure Split (WALES)'!$D$18="Land Registry Data",'House Prices (Mid and SW Wales)'!H24,'House Prices (Mid and SW Wales)'!Z24)</f>
        <v>126464.35977036256</v>
      </c>
    </row>
    <row r="25" spans="2:33" x14ac:dyDescent="0.25">
      <c r="B25" s="20">
        <v>31</v>
      </c>
      <c r="C25" s="58">
        <v>114000</v>
      </c>
      <c r="D25" s="59">
        <f>C25*(1+'Tenure Split (Mid and SW Wales)'!C$118)</f>
        <v>117238.23672341277</v>
      </c>
      <c r="E25" s="59">
        <f>D25*(1+'Tenure Split (Mid and SW Wales)'!D$118)</f>
        <v>117499.27407534729</v>
      </c>
      <c r="F25" s="59">
        <f>E25*(1+'Tenure Split (Mid and SW Wales)'!E$118)</f>
        <v>120028.3731036142</v>
      </c>
      <c r="G25" s="59">
        <f>F25*(1+'Tenure Split (Mid and SW Wales)'!F$118)</f>
        <v>124709.37985359103</v>
      </c>
      <c r="H25" s="59">
        <f>G25*(1+'Tenure Split (Mid and SW Wales)'!G$118)</f>
        <v>129882.31543983181</v>
      </c>
      <c r="L25" s="64" t="str">
        <f t="shared" si="0"/>
        <v/>
      </c>
      <c r="M25" s="264"/>
      <c r="N25" s="14">
        <f t="shared" si="3"/>
        <v>1</v>
      </c>
      <c r="T25" s="1">
        <f t="shared" si="1"/>
        <v>31</v>
      </c>
      <c r="U25" s="4" t="str">
        <f t="shared" si="2"/>
        <v/>
      </c>
      <c r="V25" s="4" t="e">
        <f>IF($V$3=$M$3,M25,U25*(1+'Tenure Split (WALES)'!C$118))</f>
        <v>#VALUE!</v>
      </c>
      <c r="W25" s="4" t="e">
        <f>V25*(1+'Tenure Split (WALES)'!D$118)</f>
        <v>#VALUE!</v>
      </c>
      <c r="X25" s="4" t="e">
        <f>W25*(1+'Tenure Split (WALES)'!E$118)</f>
        <v>#VALUE!</v>
      </c>
      <c r="Y25" s="4" t="e">
        <f>X25*(1+'Tenure Split (WALES)'!F$118)</f>
        <v>#VALUE!</v>
      </c>
      <c r="Z25" s="4" t="e">
        <f>Y25*(1+'Tenure Split (WALES)'!G$118)</f>
        <v>#VALUE!</v>
      </c>
      <c r="AB25" s="1">
        <v>31</v>
      </c>
      <c r="AC25" s="4">
        <f>IF('Tenure Split (WALES)'!$D$18="Land Registry Data",'House Prices (Mid and SW Wales)'!D25,'House Prices (Mid and SW Wales)'!V25)</f>
        <v>117238.23672341277</v>
      </c>
      <c r="AD25" s="4">
        <f>IF('Tenure Split (WALES)'!$D$18="Land Registry Data",'House Prices (Mid and SW Wales)'!E25,'House Prices (Mid and SW Wales)'!W25)</f>
        <v>117499.27407534729</v>
      </c>
      <c r="AE25" s="4">
        <f>IF('Tenure Split (WALES)'!$D$18="Land Registry Data",'House Prices (Mid and SW Wales)'!F25,'House Prices (Mid and SW Wales)'!X25)</f>
        <v>120028.3731036142</v>
      </c>
      <c r="AF25" s="4">
        <f>IF('Tenure Split (WALES)'!$D$18="Land Registry Data",'House Prices (Mid and SW Wales)'!G25,'House Prices (Mid and SW Wales)'!Y25)</f>
        <v>124709.37985359103</v>
      </c>
      <c r="AG25" s="4">
        <f>IF('Tenure Split (WALES)'!$D$18="Land Registry Data",'House Prices (Mid and SW Wales)'!H25,'House Prices (Mid and SW Wales)'!Z25)</f>
        <v>129882.31543983181</v>
      </c>
    </row>
    <row r="26" spans="2:33" x14ac:dyDescent="0.25">
      <c r="B26" s="20">
        <v>32</v>
      </c>
      <c r="C26" s="58">
        <v>115000</v>
      </c>
      <c r="D26" s="59">
        <f>C26*(1+'Tenure Split (Mid and SW Wales)'!C$118)</f>
        <v>118266.64230870586</v>
      </c>
      <c r="E26" s="59">
        <f>D26*(1+'Tenure Split (Mid and SW Wales)'!D$118)</f>
        <v>118529.96946197315</v>
      </c>
      <c r="F26" s="59">
        <f>E26*(1+'Tenure Split (Mid and SW Wales)'!E$118)</f>
        <v>121081.25356943537</v>
      </c>
      <c r="G26" s="59">
        <f>F26*(1+'Tenure Split (Mid and SW Wales)'!F$118)</f>
        <v>125803.3217821313</v>
      </c>
      <c r="H26" s="59">
        <f>G26*(1+'Tenure Split (Mid and SW Wales)'!G$118)</f>
        <v>131021.63399632157</v>
      </c>
      <c r="L26" s="64" t="str">
        <f t="shared" si="0"/>
        <v/>
      </c>
      <c r="M26" s="264"/>
      <c r="N26" s="14">
        <f t="shared" si="3"/>
        <v>1</v>
      </c>
      <c r="T26" s="1">
        <f t="shared" si="1"/>
        <v>32</v>
      </c>
      <c r="U26" s="4" t="str">
        <f t="shared" si="2"/>
        <v/>
      </c>
      <c r="V26" s="4" t="e">
        <f>IF($V$3=$M$3,M26,U26*(1+'Tenure Split (WALES)'!C$118))</f>
        <v>#VALUE!</v>
      </c>
      <c r="W26" s="4" t="e">
        <f>V26*(1+'Tenure Split (WALES)'!D$118)</f>
        <v>#VALUE!</v>
      </c>
      <c r="X26" s="4" t="e">
        <f>W26*(1+'Tenure Split (WALES)'!E$118)</f>
        <v>#VALUE!</v>
      </c>
      <c r="Y26" s="4" t="e">
        <f>X26*(1+'Tenure Split (WALES)'!F$118)</f>
        <v>#VALUE!</v>
      </c>
      <c r="Z26" s="4" t="e">
        <f>Y26*(1+'Tenure Split (WALES)'!G$118)</f>
        <v>#VALUE!</v>
      </c>
      <c r="AB26" s="1">
        <v>32</v>
      </c>
      <c r="AC26" s="4">
        <f>IF('Tenure Split (WALES)'!$D$18="Land Registry Data",'House Prices (Mid and SW Wales)'!D26,'House Prices (Mid and SW Wales)'!V26)</f>
        <v>118266.64230870586</v>
      </c>
      <c r="AD26" s="4">
        <f>IF('Tenure Split (WALES)'!$D$18="Land Registry Data",'House Prices (Mid and SW Wales)'!E26,'House Prices (Mid and SW Wales)'!W26)</f>
        <v>118529.96946197315</v>
      </c>
      <c r="AE26" s="4">
        <f>IF('Tenure Split (WALES)'!$D$18="Land Registry Data",'House Prices (Mid and SW Wales)'!F26,'House Prices (Mid and SW Wales)'!X26)</f>
        <v>121081.25356943537</v>
      </c>
      <c r="AF26" s="4">
        <f>IF('Tenure Split (WALES)'!$D$18="Land Registry Data",'House Prices (Mid and SW Wales)'!G26,'House Prices (Mid and SW Wales)'!Y26)</f>
        <v>125803.3217821313</v>
      </c>
      <c r="AG26" s="4">
        <f>IF('Tenure Split (WALES)'!$D$18="Land Registry Data",'House Prices (Mid and SW Wales)'!H26,'House Prices (Mid and SW Wales)'!Z26)</f>
        <v>131021.63399632157</v>
      </c>
    </row>
    <row r="27" spans="2:33" x14ac:dyDescent="0.25">
      <c r="B27" s="20">
        <v>33</v>
      </c>
      <c r="C27" s="58">
        <v>116000</v>
      </c>
      <c r="D27" s="59">
        <f>C27*(1+'Tenure Split (Mid and SW Wales)'!C$118)</f>
        <v>119295.04789399896</v>
      </c>
      <c r="E27" s="59">
        <f>D27*(1+'Tenure Split (Mid and SW Wales)'!D$118)</f>
        <v>119560.66484859899</v>
      </c>
      <c r="F27" s="59">
        <f>E27*(1+'Tenure Split (Mid and SW Wales)'!E$118)</f>
        <v>122134.13403525655</v>
      </c>
      <c r="G27" s="59">
        <f>F27*(1+'Tenure Split (Mid and SW Wales)'!F$118)</f>
        <v>126897.26371067157</v>
      </c>
      <c r="H27" s="59">
        <f>G27*(1+'Tenure Split (Mid and SW Wales)'!G$118)</f>
        <v>132160.95255281133</v>
      </c>
      <c r="L27" s="64" t="str">
        <f t="shared" si="0"/>
        <v/>
      </c>
      <c r="M27" s="264"/>
      <c r="N27" s="14">
        <f t="shared" si="3"/>
        <v>1</v>
      </c>
      <c r="T27" s="1">
        <f t="shared" si="1"/>
        <v>33</v>
      </c>
      <c r="U27" s="4" t="str">
        <f t="shared" si="2"/>
        <v/>
      </c>
      <c r="V27" s="4" t="e">
        <f>IF($V$3=$M$3,M27,U27*(1+'Tenure Split (WALES)'!C$118))</f>
        <v>#VALUE!</v>
      </c>
      <c r="W27" s="4" t="e">
        <f>V27*(1+'Tenure Split (WALES)'!D$118)</f>
        <v>#VALUE!</v>
      </c>
      <c r="X27" s="4" t="e">
        <f>W27*(1+'Tenure Split (WALES)'!E$118)</f>
        <v>#VALUE!</v>
      </c>
      <c r="Y27" s="4" t="e">
        <f>X27*(1+'Tenure Split (WALES)'!F$118)</f>
        <v>#VALUE!</v>
      </c>
      <c r="Z27" s="4" t="e">
        <f>Y27*(1+'Tenure Split (WALES)'!G$118)</f>
        <v>#VALUE!</v>
      </c>
      <c r="AB27" s="1">
        <v>33</v>
      </c>
      <c r="AC27" s="4">
        <f>IF('Tenure Split (WALES)'!$D$18="Land Registry Data",'House Prices (Mid and SW Wales)'!D27,'House Prices (Mid and SW Wales)'!V27)</f>
        <v>119295.04789399896</v>
      </c>
      <c r="AD27" s="4">
        <f>IF('Tenure Split (WALES)'!$D$18="Land Registry Data",'House Prices (Mid and SW Wales)'!E27,'House Prices (Mid and SW Wales)'!W27)</f>
        <v>119560.66484859899</v>
      </c>
      <c r="AE27" s="4">
        <f>IF('Tenure Split (WALES)'!$D$18="Land Registry Data",'House Prices (Mid and SW Wales)'!F27,'House Prices (Mid and SW Wales)'!X27)</f>
        <v>122134.13403525655</v>
      </c>
      <c r="AF27" s="4">
        <f>IF('Tenure Split (WALES)'!$D$18="Land Registry Data",'House Prices (Mid and SW Wales)'!G27,'House Prices (Mid and SW Wales)'!Y27)</f>
        <v>126897.26371067157</v>
      </c>
      <c r="AG27" s="4">
        <f>IF('Tenure Split (WALES)'!$D$18="Land Registry Data",'House Prices (Mid and SW Wales)'!H27,'House Prices (Mid and SW Wales)'!Z27)</f>
        <v>132160.95255281133</v>
      </c>
    </row>
    <row r="28" spans="2:33" x14ac:dyDescent="0.25">
      <c r="B28" s="20">
        <v>34</v>
      </c>
      <c r="C28" s="58">
        <v>118000</v>
      </c>
      <c r="D28" s="59">
        <f>C28*(1+'Tenure Split (Mid and SW Wales)'!C$118)</f>
        <v>121351.85906458515</v>
      </c>
      <c r="E28" s="59">
        <f>D28*(1+'Tenure Split (Mid and SW Wales)'!D$118)</f>
        <v>121622.05562185071</v>
      </c>
      <c r="F28" s="59">
        <f>E28*(1+'Tenure Split (Mid and SW Wales)'!E$118)</f>
        <v>124239.89496689891</v>
      </c>
      <c r="G28" s="59">
        <f>F28*(1+'Tenure Split (Mid and SW Wales)'!F$118)</f>
        <v>129085.14756775212</v>
      </c>
      <c r="H28" s="59">
        <f>G28*(1+'Tenure Split (Mid and SW Wales)'!G$118)</f>
        <v>134439.58966579085</v>
      </c>
      <c r="L28" s="64" t="str">
        <f t="shared" si="0"/>
        <v/>
      </c>
      <c r="M28" s="264"/>
      <c r="N28" s="14">
        <f t="shared" si="3"/>
        <v>1</v>
      </c>
      <c r="T28" s="1">
        <f t="shared" si="1"/>
        <v>34</v>
      </c>
      <c r="U28" s="4" t="str">
        <f t="shared" si="2"/>
        <v/>
      </c>
      <c r="V28" s="4" t="e">
        <f>IF($V$3=$M$3,M28,U28*(1+'Tenure Split (WALES)'!C$118))</f>
        <v>#VALUE!</v>
      </c>
      <c r="W28" s="4" t="e">
        <f>V28*(1+'Tenure Split (WALES)'!D$118)</f>
        <v>#VALUE!</v>
      </c>
      <c r="X28" s="4" t="e">
        <f>W28*(1+'Tenure Split (WALES)'!E$118)</f>
        <v>#VALUE!</v>
      </c>
      <c r="Y28" s="4" t="e">
        <f>X28*(1+'Tenure Split (WALES)'!F$118)</f>
        <v>#VALUE!</v>
      </c>
      <c r="Z28" s="4" t="e">
        <f>Y28*(1+'Tenure Split (WALES)'!G$118)</f>
        <v>#VALUE!</v>
      </c>
      <c r="AB28" s="1">
        <v>34</v>
      </c>
      <c r="AC28" s="4">
        <f>IF('Tenure Split (WALES)'!$D$18="Land Registry Data",'House Prices (Mid and SW Wales)'!D28,'House Prices (Mid and SW Wales)'!V28)</f>
        <v>121351.85906458515</v>
      </c>
      <c r="AD28" s="4">
        <f>IF('Tenure Split (WALES)'!$D$18="Land Registry Data",'House Prices (Mid and SW Wales)'!E28,'House Prices (Mid and SW Wales)'!W28)</f>
        <v>121622.05562185071</v>
      </c>
      <c r="AE28" s="4">
        <f>IF('Tenure Split (WALES)'!$D$18="Land Registry Data",'House Prices (Mid and SW Wales)'!F28,'House Prices (Mid and SW Wales)'!X28)</f>
        <v>124239.89496689891</v>
      </c>
      <c r="AF28" s="4">
        <f>IF('Tenure Split (WALES)'!$D$18="Land Registry Data",'House Prices (Mid and SW Wales)'!G28,'House Prices (Mid and SW Wales)'!Y28)</f>
        <v>129085.14756775212</v>
      </c>
      <c r="AG28" s="4">
        <f>IF('Tenure Split (WALES)'!$D$18="Land Registry Data",'House Prices (Mid and SW Wales)'!H28,'House Prices (Mid and SW Wales)'!Z28)</f>
        <v>134439.58966579085</v>
      </c>
    </row>
    <row r="29" spans="2:33" x14ac:dyDescent="0.25">
      <c r="B29" s="20">
        <v>35</v>
      </c>
      <c r="C29" s="58">
        <v>120000</v>
      </c>
      <c r="D29" s="59">
        <f>C29*(1+'Tenure Split (Mid and SW Wales)'!C$118)</f>
        <v>123408.67023517133</v>
      </c>
      <c r="E29" s="59">
        <f>D29*(1+'Tenure Split (Mid and SW Wales)'!D$118)</f>
        <v>123683.44639510241</v>
      </c>
      <c r="F29" s="59">
        <f>E29*(1+'Tenure Split (Mid and SW Wales)'!E$118)</f>
        <v>126345.65589854126</v>
      </c>
      <c r="G29" s="59">
        <f>F29*(1+'Tenure Split (Mid and SW Wales)'!F$118)</f>
        <v>131273.03142483268</v>
      </c>
      <c r="H29" s="59">
        <f>G29*(1+'Tenure Split (Mid and SW Wales)'!G$118)</f>
        <v>136718.22677877033</v>
      </c>
      <c r="L29" s="64" t="str">
        <f t="shared" si="0"/>
        <v/>
      </c>
      <c r="M29" s="264"/>
      <c r="N29" s="14">
        <f t="shared" si="3"/>
        <v>1</v>
      </c>
      <c r="T29" s="1">
        <f t="shared" si="1"/>
        <v>35</v>
      </c>
      <c r="U29" s="4" t="str">
        <f t="shared" si="2"/>
        <v/>
      </c>
      <c r="V29" s="4" t="e">
        <f>IF($V$3=$M$3,M29,U29*(1+'Tenure Split (WALES)'!C$118))</f>
        <v>#VALUE!</v>
      </c>
      <c r="W29" s="4" t="e">
        <f>V29*(1+'Tenure Split (WALES)'!D$118)</f>
        <v>#VALUE!</v>
      </c>
      <c r="X29" s="4" t="e">
        <f>W29*(1+'Tenure Split (WALES)'!E$118)</f>
        <v>#VALUE!</v>
      </c>
      <c r="Y29" s="4" t="e">
        <f>X29*(1+'Tenure Split (WALES)'!F$118)</f>
        <v>#VALUE!</v>
      </c>
      <c r="Z29" s="4" t="e">
        <f>Y29*(1+'Tenure Split (WALES)'!G$118)</f>
        <v>#VALUE!</v>
      </c>
      <c r="AB29" s="1">
        <v>35</v>
      </c>
      <c r="AC29" s="4">
        <f>IF('Tenure Split (WALES)'!$D$18="Land Registry Data",'House Prices (Mid and SW Wales)'!D29,'House Prices (Mid and SW Wales)'!V29)</f>
        <v>123408.67023517133</v>
      </c>
      <c r="AD29" s="4">
        <f>IF('Tenure Split (WALES)'!$D$18="Land Registry Data",'House Prices (Mid and SW Wales)'!E29,'House Prices (Mid and SW Wales)'!W29)</f>
        <v>123683.44639510241</v>
      </c>
      <c r="AE29" s="4">
        <f>IF('Tenure Split (WALES)'!$D$18="Land Registry Data",'House Prices (Mid and SW Wales)'!F29,'House Prices (Mid and SW Wales)'!X29)</f>
        <v>126345.65589854126</v>
      </c>
      <c r="AF29" s="4">
        <f>IF('Tenure Split (WALES)'!$D$18="Land Registry Data",'House Prices (Mid and SW Wales)'!G29,'House Prices (Mid and SW Wales)'!Y29)</f>
        <v>131273.03142483268</v>
      </c>
      <c r="AG29" s="4">
        <f>IF('Tenure Split (WALES)'!$D$18="Land Registry Data",'House Prices (Mid and SW Wales)'!H29,'House Prices (Mid and SW Wales)'!Z29)</f>
        <v>136718.22677877033</v>
      </c>
    </row>
    <row r="30" spans="2:33" x14ac:dyDescent="0.25">
      <c r="B30" s="20">
        <v>36</v>
      </c>
      <c r="C30" s="58">
        <v>120000</v>
      </c>
      <c r="D30" s="59">
        <f>C30*(1+'Tenure Split (Mid and SW Wales)'!C$118)</f>
        <v>123408.67023517133</v>
      </c>
      <c r="E30" s="59">
        <f>D30*(1+'Tenure Split (Mid and SW Wales)'!D$118)</f>
        <v>123683.44639510241</v>
      </c>
      <c r="F30" s="59">
        <f>E30*(1+'Tenure Split (Mid and SW Wales)'!E$118)</f>
        <v>126345.65589854126</v>
      </c>
      <c r="G30" s="59">
        <f>F30*(1+'Tenure Split (Mid and SW Wales)'!F$118)</f>
        <v>131273.03142483268</v>
      </c>
      <c r="H30" s="59">
        <f>G30*(1+'Tenure Split (Mid and SW Wales)'!G$118)</f>
        <v>136718.22677877033</v>
      </c>
      <c r="L30" s="64" t="str">
        <f t="shared" si="0"/>
        <v/>
      </c>
      <c r="M30" s="264"/>
      <c r="N30" s="14">
        <f t="shared" si="3"/>
        <v>1</v>
      </c>
      <c r="T30" s="1">
        <f t="shared" si="1"/>
        <v>36</v>
      </c>
      <c r="U30" s="4" t="str">
        <f t="shared" si="2"/>
        <v/>
      </c>
      <c r="V30" s="4" t="e">
        <f>IF($V$3=$M$3,M30,U30*(1+'Tenure Split (WALES)'!C$118))</f>
        <v>#VALUE!</v>
      </c>
      <c r="W30" s="4" t="e">
        <f>V30*(1+'Tenure Split (WALES)'!D$118)</f>
        <v>#VALUE!</v>
      </c>
      <c r="X30" s="4" t="e">
        <f>W30*(1+'Tenure Split (WALES)'!E$118)</f>
        <v>#VALUE!</v>
      </c>
      <c r="Y30" s="4" t="e">
        <f>X30*(1+'Tenure Split (WALES)'!F$118)</f>
        <v>#VALUE!</v>
      </c>
      <c r="Z30" s="4" t="e">
        <f>Y30*(1+'Tenure Split (WALES)'!G$118)</f>
        <v>#VALUE!</v>
      </c>
      <c r="AB30" s="1">
        <v>36</v>
      </c>
      <c r="AC30" s="4">
        <f>IF('Tenure Split (WALES)'!$D$18="Land Registry Data",'House Prices (Mid and SW Wales)'!D30,'House Prices (Mid and SW Wales)'!V30)</f>
        <v>123408.67023517133</v>
      </c>
      <c r="AD30" s="4">
        <f>IF('Tenure Split (WALES)'!$D$18="Land Registry Data",'House Prices (Mid and SW Wales)'!E30,'House Prices (Mid and SW Wales)'!W30)</f>
        <v>123683.44639510241</v>
      </c>
      <c r="AE30" s="4">
        <f>IF('Tenure Split (WALES)'!$D$18="Land Registry Data",'House Prices (Mid and SW Wales)'!F30,'House Prices (Mid and SW Wales)'!X30)</f>
        <v>126345.65589854126</v>
      </c>
      <c r="AF30" s="4">
        <f>IF('Tenure Split (WALES)'!$D$18="Land Registry Data",'House Prices (Mid and SW Wales)'!G30,'House Prices (Mid and SW Wales)'!Y30)</f>
        <v>131273.03142483268</v>
      </c>
      <c r="AG30" s="4">
        <f>IF('Tenure Split (WALES)'!$D$18="Land Registry Data",'House Prices (Mid and SW Wales)'!H30,'House Prices (Mid and SW Wales)'!Z30)</f>
        <v>136718.22677877033</v>
      </c>
    </row>
    <row r="31" spans="2:33" x14ac:dyDescent="0.25">
      <c r="B31" s="20">
        <v>37</v>
      </c>
      <c r="C31" s="58">
        <v>122000</v>
      </c>
      <c r="D31" s="59">
        <f>C31*(1+'Tenure Split (Mid and SW Wales)'!C$118)</f>
        <v>125465.48140575753</v>
      </c>
      <c r="E31" s="59">
        <f>D31*(1+'Tenure Split (Mid and SW Wales)'!D$118)</f>
        <v>125744.83716835412</v>
      </c>
      <c r="F31" s="59">
        <f>E31*(1+'Tenure Split (Mid and SW Wales)'!E$118)</f>
        <v>128451.41683018362</v>
      </c>
      <c r="G31" s="59">
        <f>F31*(1+'Tenure Split (Mid and SW Wales)'!F$118)</f>
        <v>133460.91528191321</v>
      </c>
      <c r="H31" s="59">
        <f>G31*(1+'Tenure Split (Mid and SW Wales)'!G$118)</f>
        <v>138996.86389174985</v>
      </c>
      <c r="L31" s="64" t="str">
        <f t="shared" si="0"/>
        <v/>
      </c>
      <c r="M31" s="264"/>
      <c r="N31" s="14">
        <f t="shared" si="3"/>
        <v>1</v>
      </c>
      <c r="T31" s="1">
        <f t="shared" si="1"/>
        <v>37</v>
      </c>
      <c r="U31" s="4" t="str">
        <f t="shared" si="2"/>
        <v/>
      </c>
      <c r="V31" s="4" t="e">
        <f>IF($V$3=$M$3,M31,U31*(1+'Tenure Split (WALES)'!C$118))</f>
        <v>#VALUE!</v>
      </c>
      <c r="W31" s="4" t="e">
        <f>V31*(1+'Tenure Split (WALES)'!D$118)</f>
        <v>#VALUE!</v>
      </c>
      <c r="X31" s="4" t="e">
        <f>W31*(1+'Tenure Split (WALES)'!E$118)</f>
        <v>#VALUE!</v>
      </c>
      <c r="Y31" s="4" t="e">
        <f>X31*(1+'Tenure Split (WALES)'!F$118)</f>
        <v>#VALUE!</v>
      </c>
      <c r="Z31" s="4" t="e">
        <f>Y31*(1+'Tenure Split (WALES)'!G$118)</f>
        <v>#VALUE!</v>
      </c>
      <c r="AB31" s="1">
        <v>37</v>
      </c>
      <c r="AC31" s="4">
        <f>IF('Tenure Split (WALES)'!$D$18="Land Registry Data",'House Prices (Mid and SW Wales)'!D31,'House Prices (Mid and SW Wales)'!V31)</f>
        <v>125465.48140575753</v>
      </c>
      <c r="AD31" s="4">
        <f>IF('Tenure Split (WALES)'!$D$18="Land Registry Data",'House Prices (Mid and SW Wales)'!E31,'House Prices (Mid and SW Wales)'!W31)</f>
        <v>125744.83716835412</v>
      </c>
      <c r="AE31" s="4">
        <f>IF('Tenure Split (WALES)'!$D$18="Land Registry Data",'House Prices (Mid and SW Wales)'!F31,'House Prices (Mid and SW Wales)'!X31)</f>
        <v>128451.41683018362</v>
      </c>
      <c r="AF31" s="4">
        <f>IF('Tenure Split (WALES)'!$D$18="Land Registry Data",'House Prices (Mid and SW Wales)'!G31,'House Prices (Mid and SW Wales)'!Y31)</f>
        <v>133460.91528191321</v>
      </c>
      <c r="AG31" s="4">
        <f>IF('Tenure Split (WALES)'!$D$18="Land Registry Data",'House Prices (Mid and SW Wales)'!H31,'House Prices (Mid and SW Wales)'!Z31)</f>
        <v>138996.86389174985</v>
      </c>
    </row>
    <row r="32" spans="2:33" x14ac:dyDescent="0.25">
      <c r="B32" s="20">
        <v>38</v>
      </c>
      <c r="C32" s="58">
        <v>124000</v>
      </c>
      <c r="D32" s="59">
        <f>C32*(1+'Tenure Split (Mid and SW Wales)'!C$118)</f>
        <v>127522.29257634371</v>
      </c>
      <c r="E32" s="59">
        <f>D32*(1+'Tenure Split (Mid and SW Wales)'!D$118)</f>
        <v>127806.22794160582</v>
      </c>
      <c r="F32" s="59">
        <f>E32*(1+'Tenure Split (Mid and SW Wales)'!E$118)</f>
        <v>130557.17776182597</v>
      </c>
      <c r="G32" s="59">
        <f>F32*(1+'Tenure Split (Mid and SW Wales)'!F$118)</f>
        <v>135648.79913899375</v>
      </c>
      <c r="H32" s="59">
        <f>G32*(1+'Tenure Split (Mid and SW Wales)'!G$118)</f>
        <v>141275.50100472933</v>
      </c>
      <c r="L32" s="64" t="str">
        <f t="shared" si="0"/>
        <v/>
      </c>
      <c r="M32" s="264"/>
      <c r="N32" s="14">
        <f t="shared" si="3"/>
        <v>1</v>
      </c>
      <c r="T32" s="1">
        <f t="shared" si="1"/>
        <v>38</v>
      </c>
      <c r="U32" s="4" t="str">
        <f t="shared" si="2"/>
        <v/>
      </c>
      <c r="V32" s="4" t="e">
        <f>IF($V$3=$M$3,M32,U32*(1+'Tenure Split (WALES)'!C$118))</f>
        <v>#VALUE!</v>
      </c>
      <c r="W32" s="4" t="e">
        <f>V32*(1+'Tenure Split (WALES)'!D$118)</f>
        <v>#VALUE!</v>
      </c>
      <c r="X32" s="4" t="e">
        <f>W32*(1+'Tenure Split (WALES)'!E$118)</f>
        <v>#VALUE!</v>
      </c>
      <c r="Y32" s="4" t="e">
        <f>X32*(1+'Tenure Split (WALES)'!F$118)</f>
        <v>#VALUE!</v>
      </c>
      <c r="Z32" s="4" t="e">
        <f>Y32*(1+'Tenure Split (WALES)'!G$118)</f>
        <v>#VALUE!</v>
      </c>
      <c r="AB32" s="1">
        <v>38</v>
      </c>
      <c r="AC32" s="4">
        <f>IF('Tenure Split (WALES)'!$D$18="Land Registry Data",'House Prices (Mid and SW Wales)'!D32,'House Prices (Mid and SW Wales)'!V32)</f>
        <v>127522.29257634371</v>
      </c>
      <c r="AD32" s="4">
        <f>IF('Tenure Split (WALES)'!$D$18="Land Registry Data",'House Prices (Mid and SW Wales)'!E32,'House Prices (Mid and SW Wales)'!W32)</f>
        <v>127806.22794160582</v>
      </c>
      <c r="AE32" s="4">
        <f>IF('Tenure Split (WALES)'!$D$18="Land Registry Data",'House Prices (Mid and SW Wales)'!F32,'House Prices (Mid and SW Wales)'!X32)</f>
        <v>130557.17776182597</v>
      </c>
      <c r="AF32" s="4">
        <f>IF('Tenure Split (WALES)'!$D$18="Land Registry Data",'House Prices (Mid and SW Wales)'!G32,'House Prices (Mid and SW Wales)'!Y32)</f>
        <v>135648.79913899375</v>
      </c>
      <c r="AG32" s="4">
        <f>IF('Tenure Split (WALES)'!$D$18="Land Registry Data",'House Prices (Mid and SW Wales)'!H32,'House Prices (Mid and SW Wales)'!Z32)</f>
        <v>141275.50100472933</v>
      </c>
    </row>
    <row r="33" spans="2:33" x14ac:dyDescent="0.25">
      <c r="B33" s="20">
        <v>39</v>
      </c>
      <c r="C33" s="58">
        <v>125000</v>
      </c>
      <c r="D33" s="59">
        <f>C33*(1+'Tenure Split (Mid and SW Wales)'!C$118)</f>
        <v>128550.6981616368</v>
      </c>
      <c r="E33" s="59">
        <f>D33*(1+'Tenure Split (Mid and SW Wales)'!D$118)</f>
        <v>128836.92332823167</v>
      </c>
      <c r="F33" s="59">
        <f>E33*(1+'Tenure Split (Mid and SW Wales)'!E$118)</f>
        <v>131610.05822764715</v>
      </c>
      <c r="G33" s="59">
        <f>F33*(1+'Tenure Split (Mid and SW Wales)'!F$118)</f>
        <v>136742.74106753402</v>
      </c>
      <c r="H33" s="59">
        <f>G33*(1+'Tenure Split (Mid and SW Wales)'!G$118)</f>
        <v>142414.8195612191</v>
      </c>
      <c r="L33" s="64" t="str">
        <f t="shared" si="0"/>
        <v/>
      </c>
      <c r="M33" s="264"/>
      <c r="N33" s="14">
        <f t="shared" si="3"/>
        <v>1</v>
      </c>
      <c r="T33" s="1">
        <f t="shared" si="1"/>
        <v>39</v>
      </c>
      <c r="U33" s="4" t="str">
        <f t="shared" si="2"/>
        <v/>
      </c>
      <c r="V33" s="4" t="e">
        <f>IF($V$3=$M$3,M33,U33*(1+'Tenure Split (WALES)'!C$118))</f>
        <v>#VALUE!</v>
      </c>
      <c r="W33" s="4" t="e">
        <f>V33*(1+'Tenure Split (WALES)'!D$118)</f>
        <v>#VALUE!</v>
      </c>
      <c r="X33" s="4" t="e">
        <f>W33*(1+'Tenure Split (WALES)'!E$118)</f>
        <v>#VALUE!</v>
      </c>
      <c r="Y33" s="4" t="e">
        <f>X33*(1+'Tenure Split (WALES)'!F$118)</f>
        <v>#VALUE!</v>
      </c>
      <c r="Z33" s="4" t="e">
        <f>Y33*(1+'Tenure Split (WALES)'!G$118)</f>
        <v>#VALUE!</v>
      </c>
      <c r="AB33" s="1">
        <v>39</v>
      </c>
      <c r="AC33" s="4">
        <f>IF('Tenure Split (WALES)'!$D$18="Land Registry Data",'House Prices (Mid and SW Wales)'!D33,'House Prices (Mid and SW Wales)'!V33)</f>
        <v>128550.6981616368</v>
      </c>
      <c r="AD33" s="4">
        <f>IF('Tenure Split (WALES)'!$D$18="Land Registry Data",'House Prices (Mid and SW Wales)'!E33,'House Prices (Mid and SW Wales)'!W33)</f>
        <v>128836.92332823167</v>
      </c>
      <c r="AE33" s="4">
        <f>IF('Tenure Split (WALES)'!$D$18="Land Registry Data",'House Prices (Mid and SW Wales)'!F33,'House Prices (Mid and SW Wales)'!X33)</f>
        <v>131610.05822764715</v>
      </c>
      <c r="AF33" s="4">
        <f>IF('Tenure Split (WALES)'!$D$18="Land Registry Data",'House Prices (Mid and SW Wales)'!G33,'House Prices (Mid and SW Wales)'!Y33)</f>
        <v>136742.74106753402</v>
      </c>
      <c r="AG33" s="4">
        <f>IF('Tenure Split (WALES)'!$D$18="Land Registry Data",'House Prices (Mid and SW Wales)'!H33,'House Prices (Mid and SW Wales)'!Z33)</f>
        <v>142414.8195612191</v>
      </c>
    </row>
    <row r="34" spans="2:33" x14ac:dyDescent="0.25">
      <c r="B34" s="20">
        <v>40</v>
      </c>
      <c r="C34" s="58">
        <v>125500</v>
      </c>
      <c r="D34" s="59">
        <f>C34*(1+'Tenure Split (Mid and SW Wales)'!C$118)</f>
        <v>129064.90095428335</v>
      </c>
      <c r="E34" s="59">
        <f>D34*(1+'Tenure Split (Mid and SW Wales)'!D$118)</f>
        <v>129352.2710215446</v>
      </c>
      <c r="F34" s="59">
        <f>E34*(1+'Tenure Split (Mid and SW Wales)'!E$118)</f>
        <v>132136.49846055772</v>
      </c>
      <c r="G34" s="59">
        <f>F34*(1+'Tenure Split (Mid and SW Wales)'!F$118)</f>
        <v>137289.71203180414</v>
      </c>
      <c r="H34" s="59">
        <f>G34*(1+'Tenure Split (Mid and SW Wales)'!G$118)</f>
        <v>142984.47883946396</v>
      </c>
      <c r="L34" s="64" t="str">
        <f t="shared" si="0"/>
        <v/>
      </c>
      <c r="M34" s="264"/>
      <c r="N34" s="14">
        <f t="shared" si="3"/>
        <v>1</v>
      </c>
      <c r="T34" s="1">
        <f t="shared" si="1"/>
        <v>40</v>
      </c>
      <c r="U34" s="4" t="str">
        <f t="shared" si="2"/>
        <v/>
      </c>
      <c r="V34" s="4" t="e">
        <f>IF($V$3=$M$3,M34,U34*(1+'Tenure Split (WALES)'!C$118))</f>
        <v>#VALUE!</v>
      </c>
      <c r="W34" s="4" t="e">
        <f>V34*(1+'Tenure Split (WALES)'!D$118)</f>
        <v>#VALUE!</v>
      </c>
      <c r="X34" s="4" t="e">
        <f>W34*(1+'Tenure Split (WALES)'!E$118)</f>
        <v>#VALUE!</v>
      </c>
      <c r="Y34" s="4" t="e">
        <f>X34*(1+'Tenure Split (WALES)'!F$118)</f>
        <v>#VALUE!</v>
      </c>
      <c r="Z34" s="4" t="e">
        <f>Y34*(1+'Tenure Split (WALES)'!G$118)</f>
        <v>#VALUE!</v>
      </c>
      <c r="AB34" s="1">
        <v>40</v>
      </c>
      <c r="AC34" s="4">
        <f>IF('Tenure Split (WALES)'!$D$18="Land Registry Data",'House Prices (Mid and SW Wales)'!D34,'House Prices (Mid and SW Wales)'!V34)</f>
        <v>129064.90095428335</v>
      </c>
      <c r="AD34" s="4">
        <f>IF('Tenure Split (WALES)'!$D$18="Land Registry Data",'House Prices (Mid and SW Wales)'!E34,'House Prices (Mid and SW Wales)'!W34)</f>
        <v>129352.2710215446</v>
      </c>
      <c r="AE34" s="4">
        <f>IF('Tenure Split (WALES)'!$D$18="Land Registry Data",'House Prices (Mid and SW Wales)'!F34,'House Prices (Mid and SW Wales)'!X34)</f>
        <v>132136.49846055772</v>
      </c>
      <c r="AF34" s="4">
        <f>IF('Tenure Split (WALES)'!$D$18="Land Registry Data",'House Prices (Mid and SW Wales)'!G34,'House Prices (Mid and SW Wales)'!Y34)</f>
        <v>137289.71203180414</v>
      </c>
      <c r="AG34" s="4">
        <f>IF('Tenure Split (WALES)'!$D$18="Land Registry Data",'House Prices (Mid and SW Wales)'!H34,'House Prices (Mid and SW Wales)'!Z34)</f>
        <v>142984.47883946396</v>
      </c>
    </row>
    <row r="35" spans="2:33" x14ac:dyDescent="0.25">
      <c r="B35" s="20">
        <v>41</v>
      </c>
      <c r="C35" s="58">
        <v>127995</v>
      </c>
      <c r="D35" s="59">
        <f>C35*(1+'Tenure Split (Mid and SW Wales)'!C$118)</f>
        <v>131630.77288958963</v>
      </c>
      <c r="E35" s="59">
        <f>D35*(1+'Tenure Split (Mid and SW Wales)'!D$118)</f>
        <v>131923.8560111761</v>
      </c>
      <c r="F35" s="59">
        <f>E35*(1+'Tenure Split (Mid and SW Wales)'!E$118)</f>
        <v>134763.43522278155</v>
      </c>
      <c r="G35" s="59">
        <f>F35*(1+'Tenure Split (Mid and SW Wales)'!F$118)</f>
        <v>140019.09714351213</v>
      </c>
      <c r="H35" s="59">
        <f>G35*(1+'Tenure Split (Mid and SW Wales)'!G$118)</f>
        <v>145827.07863790588</v>
      </c>
      <c r="L35" s="64" t="str">
        <f t="shared" si="0"/>
        <v/>
      </c>
      <c r="M35" s="264"/>
      <c r="N35" s="14">
        <f t="shared" si="3"/>
        <v>1</v>
      </c>
      <c r="T35" s="1">
        <f t="shared" si="1"/>
        <v>41</v>
      </c>
      <c r="U35" s="4" t="str">
        <f t="shared" si="2"/>
        <v/>
      </c>
      <c r="V35" s="4" t="e">
        <f>IF($V$3=$M$3,M35,U35*(1+'Tenure Split (WALES)'!C$118))</f>
        <v>#VALUE!</v>
      </c>
      <c r="W35" s="4" t="e">
        <f>V35*(1+'Tenure Split (WALES)'!D$118)</f>
        <v>#VALUE!</v>
      </c>
      <c r="X35" s="4" t="e">
        <f>W35*(1+'Tenure Split (WALES)'!E$118)</f>
        <v>#VALUE!</v>
      </c>
      <c r="Y35" s="4" t="e">
        <f>X35*(1+'Tenure Split (WALES)'!F$118)</f>
        <v>#VALUE!</v>
      </c>
      <c r="Z35" s="4" t="e">
        <f>Y35*(1+'Tenure Split (WALES)'!G$118)</f>
        <v>#VALUE!</v>
      </c>
      <c r="AB35" s="1">
        <v>41</v>
      </c>
      <c r="AC35" s="4">
        <f>IF('Tenure Split (WALES)'!$D$18="Land Registry Data",'House Prices (Mid and SW Wales)'!D35,'House Prices (Mid and SW Wales)'!V35)</f>
        <v>131630.77288958963</v>
      </c>
      <c r="AD35" s="4">
        <f>IF('Tenure Split (WALES)'!$D$18="Land Registry Data",'House Prices (Mid and SW Wales)'!E35,'House Prices (Mid and SW Wales)'!W35)</f>
        <v>131923.8560111761</v>
      </c>
      <c r="AE35" s="4">
        <f>IF('Tenure Split (WALES)'!$D$18="Land Registry Data",'House Prices (Mid and SW Wales)'!F35,'House Prices (Mid and SW Wales)'!X35)</f>
        <v>134763.43522278155</v>
      </c>
      <c r="AF35" s="4">
        <f>IF('Tenure Split (WALES)'!$D$18="Land Registry Data",'House Prices (Mid and SW Wales)'!G35,'House Prices (Mid and SW Wales)'!Y35)</f>
        <v>140019.09714351213</v>
      </c>
      <c r="AG35" s="4">
        <f>IF('Tenure Split (WALES)'!$D$18="Land Registry Data",'House Prices (Mid and SW Wales)'!H35,'House Prices (Mid and SW Wales)'!Z35)</f>
        <v>145827.07863790588</v>
      </c>
    </row>
    <row r="36" spans="2:33" x14ac:dyDescent="0.25">
      <c r="B36" s="20">
        <v>42</v>
      </c>
      <c r="C36" s="58">
        <v>130000</v>
      </c>
      <c r="D36" s="59">
        <f>C36*(1+'Tenure Split (Mid and SW Wales)'!C$118)</f>
        <v>133692.72608810227</v>
      </c>
      <c r="E36" s="59">
        <f>D36*(1+'Tenure Split (Mid and SW Wales)'!D$118)</f>
        <v>133990.40026136092</v>
      </c>
      <c r="F36" s="59">
        <f>E36*(1+'Tenure Split (Mid and SW Wales)'!E$118)</f>
        <v>136874.46055675301</v>
      </c>
      <c r="G36" s="59">
        <f>F36*(1+'Tenure Split (Mid and SW Wales)'!F$118)</f>
        <v>142212.45071023537</v>
      </c>
      <c r="H36" s="59">
        <f>G36*(1+'Tenure Split (Mid and SW Wales)'!G$118)</f>
        <v>148111.41234366785</v>
      </c>
      <c r="L36" s="64" t="str">
        <f t="shared" si="0"/>
        <v/>
      </c>
      <c r="M36" s="264"/>
      <c r="N36" s="14">
        <f t="shared" si="3"/>
        <v>1</v>
      </c>
      <c r="T36" s="1">
        <f t="shared" si="1"/>
        <v>42</v>
      </c>
      <c r="U36" s="4" t="str">
        <f t="shared" si="2"/>
        <v/>
      </c>
      <c r="V36" s="4" t="e">
        <f>IF($V$3=$M$3,M36,U36*(1+'Tenure Split (WALES)'!C$118))</f>
        <v>#VALUE!</v>
      </c>
      <c r="W36" s="4" t="e">
        <f>V36*(1+'Tenure Split (WALES)'!D$118)</f>
        <v>#VALUE!</v>
      </c>
      <c r="X36" s="4" t="e">
        <f>W36*(1+'Tenure Split (WALES)'!E$118)</f>
        <v>#VALUE!</v>
      </c>
      <c r="Y36" s="4" t="e">
        <f>X36*(1+'Tenure Split (WALES)'!F$118)</f>
        <v>#VALUE!</v>
      </c>
      <c r="Z36" s="4" t="e">
        <f>Y36*(1+'Tenure Split (WALES)'!G$118)</f>
        <v>#VALUE!</v>
      </c>
      <c r="AB36" s="1">
        <v>42</v>
      </c>
      <c r="AC36" s="4">
        <f>IF('Tenure Split (WALES)'!$D$18="Land Registry Data",'House Prices (Mid and SW Wales)'!D36,'House Prices (Mid and SW Wales)'!V36)</f>
        <v>133692.72608810227</v>
      </c>
      <c r="AD36" s="4">
        <f>IF('Tenure Split (WALES)'!$D$18="Land Registry Data",'House Prices (Mid and SW Wales)'!E36,'House Prices (Mid and SW Wales)'!W36)</f>
        <v>133990.40026136092</v>
      </c>
      <c r="AE36" s="4">
        <f>IF('Tenure Split (WALES)'!$D$18="Land Registry Data",'House Prices (Mid and SW Wales)'!F36,'House Prices (Mid and SW Wales)'!X36)</f>
        <v>136874.46055675301</v>
      </c>
      <c r="AF36" s="4">
        <f>IF('Tenure Split (WALES)'!$D$18="Land Registry Data",'House Prices (Mid and SW Wales)'!G36,'House Prices (Mid and SW Wales)'!Y36)</f>
        <v>142212.45071023537</v>
      </c>
      <c r="AG36" s="4">
        <f>IF('Tenure Split (WALES)'!$D$18="Land Registry Data",'House Prices (Mid and SW Wales)'!H36,'House Prices (Mid and SW Wales)'!Z36)</f>
        <v>148111.41234366785</v>
      </c>
    </row>
    <row r="37" spans="2:33" x14ac:dyDescent="0.25">
      <c r="B37" s="20">
        <v>43</v>
      </c>
      <c r="C37" s="58">
        <v>130000</v>
      </c>
      <c r="D37" s="59">
        <f>C37*(1+'Tenure Split (Mid and SW Wales)'!C$118)</f>
        <v>133692.72608810227</v>
      </c>
      <c r="E37" s="59">
        <f>D37*(1+'Tenure Split (Mid and SW Wales)'!D$118)</f>
        <v>133990.40026136092</v>
      </c>
      <c r="F37" s="59">
        <f>E37*(1+'Tenure Split (Mid and SW Wales)'!E$118)</f>
        <v>136874.46055675301</v>
      </c>
      <c r="G37" s="59">
        <f>F37*(1+'Tenure Split (Mid and SW Wales)'!F$118)</f>
        <v>142212.45071023537</v>
      </c>
      <c r="H37" s="59">
        <f>G37*(1+'Tenure Split (Mid and SW Wales)'!G$118)</f>
        <v>148111.41234366785</v>
      </c>
      <c r="L37" s="64" t="str">
        <f t="shared" si="0"/>
        <v/>
      </c>
      <c r="M37" s="264"/>
      <c r="N37" s="14">
        <f t="shared" si="3"/>
        <v>1</v>
      </c>
      <c r="T37" s="1">
        <f t="shared" si="1"/>
        <v>43</v>
      </c>
      <c r="U37" s="4" t="str">
        <f t="shared" si="2"/>
        <v/>
      </c>
      <c r="V37" s="4" t="e">
        <f>IF($V$3=$M$3,M37,U37*(1+'Tenure Split (WALES)'!C$118))</f>
        <v>#VALUE!</v>
      </c>
      <c r="W37" s="4" t="e">
        <f>V37*(1+'Tenure Split (WALES)'!D$118)</f>
        <v>#VALUE!</v>
      </c>
      <c r="X37" s="4" t="e">
        <f>W37*(1+'Tenure Split (WALES)'!E$118)</f>
        <v>#VALUE!</v>
      </c>
      <c r="Y37" s="4" t="e">
        <f>X37*(1+'Tenure Split (WALES)'!F$118)</f>
        <v>#VALUE!</v>
      </c>
      <c r="Z37" s="4" t="e">
        <f>Y37*(1+'Tenure Split (WALES)'!G$118)</f>
        <v>#VALUE!</v>
      </c>
      <c r="AB37" s="1">
        <v>43</v>
      </c>
      <c r="AC37" s="4">
        <f>IF('Tenure Split (WALES)'!$D$18="Land Registry Data",'House Prices (Mid and SW Wales)'!D37,'House Prices (Mid and SW Wales)'!V37)</f>
        <v>133692.72608810227</v>
      </c>
      <c r="AD37" s="4">
        <f>IF('Tenure Split (WALES)'!$D$18="Land Registry Data",'House Prices (Mid and SW Wales)'!E37,'House Prices (Mid and SW Wales)'!W37)</f>
        <v>133990.40026136092</v>
      </c>
      <c r="AE37" s="4">
        <f>IF('Tenure Split (WALES)'!$D$18="Land Registry Data",'House Prices (Mid and SW Wales)'!F37,'House Prices (Mid and SW Wales)'!X37)</f>
        <v>136874.46055675301</v>
      </c>
      <c r="AF37" s="4">
        <f>IF('Tenure Split (WALES)'!$D$18="Land Registry Data",'House Prices (Mid and SW Wales)'!G37,'House Prices (Mid and SW Wales)'!Y37)</f>
        <v>142212.45071023537</v>
      </c>
      <c r="AG37" s="4">
        <f>IF('Tenure Split (WALES)'!$D$18="Land Registry Data",'House Prices (Mid and SW Wales)'!H37,'House Prices (Mid and SW Wales)'!Z37)</f>
        <v>148111.41234366785</v>
      </c>
    </row>
    <row r="38" spans="2:33" x14ac:dyDescent="0.25">
      <c r="B38" s="20">
        <v>44</v>
      </c>
      <c r="C38" s="58">
        <v>133000</v>
      </c>
      <c r="D38" s="59">
        <f>C38*(1+'Tenure Split (Mid and SW Wales)'!C$118)</f>
        <v>136777.94284398155</v>
      </c>
      <c r="E38" s="59">
        <f>D38*(1+'Tenure Split (Mid and SW Wales)'!D$118)</f>
        <v>137082.48642123849</v>
      </c>
      <c r="F38" s="59">
        <f>E38*(1+'Tenure Split (Mid and SW Wales)'!E$118)</f>
        <v>140033.10195421654</v>
      </c>
      <c r="G38" s="59">
        <f>F38*(1+'Tenure Split (Mid and SW Wales)'!F$118)</f>
        <v>145494.27649585617</v>
      </c>
      <c r="H38" s="59">
        <f>G38*(1+'Tenure Split (Mid and SW Wales)'!G$118)</f>
        <v>151529.36801313708</v>
      </c>
      <c r="L38" s="64" t="str">
        <f t="shared" si="0"/>
        <v/>
      </c>
      <c r="M38" s="264"/>
      <c r="N38" s="14">
        <f t="shared" si="3"/>
        <v>1</v>
      </c>
      <c r="T38" s="1">
        <f t="shared" si="1"/>
        <v>44</v>
      </c>
      <c r="U38" s="4" t="str">
        <f t="shared" si="2"/>
        <v/>
      </c>
      <c r="V38" s="4" t="e">
        <f>IF($V$3=$M$3,M38,U38*(1+'Tenure Split (WALES)'!C$118))</f>
        <v>#VALUE!</v>
      </c>
      <c r="W38" s="4" t="e">
        <f>V38*(1+'Tenure Split (WALES)'!D$118)</f>
        <v>#VALUE!</v>
      </c>
      <c r="X38" s="4" t="e">
        <f>W38*(1+'Tenure Split (WALES)'!E$118)</f>
        <v>#VALUE!</v>
      </c>
      <c r="Y38" s="4" t="e">
        <f>X38*(1+'Tenure Split (WALES)'!F$118)</f>
        <v>#VALUE!</v>
      </c>
      <c r="Z38" s="4" t="e">
        <f>Y38*(1+'Tenure Split (WALES)'!G$118)</f>
        <v>#VALUE!</v>
      </c>
      <c r="AB38" s="1">
        <v>44</v>
      </c>
      <c r="AC38" s="4">
        <f>IF('Tenure Split (WALES)'!$D$18="Land Registry Data",'House Prices (Mid and SW Wales)'!D38,'House Prices (Mid and SW Wales)'!V38)</f>
        <v>136777.94284398155</v>
      </c>
      <c r="AD38" s="4">
        <f>IF('Tenure Split (WALES)'!$D$18="Land Registry Data",'House Prices (Mid and SW Wales)'!E38,'House Prices (Mid and SW Wales)'!W38)</f>
        <v>137082.48642123849</v>
      </c>
      <c r="AE38" s="4">
        <f>IF('Tenure Split (WALES)'!$D$18="Land Registry Data",'House Prices (Mid and SW Wales)'!F38,'House Prices (Mid and SW Wales)'!X38)</f>
        <v>140033.10195421654</v>
      </c>
      <c r="AF38" s="4">
        <f>IF('Tenure Split (WALES)'!$D$18="Land Registry Data",'House Prices (Mid and SW Wales)'!G38,'House Prices (Mid and SW Wales)'!Y38)</f>
        <v>145494.27649585617</v>
      </c>
      <c r="AG38" s="4">
        <f>IF('Tenure Split (WALES)'!$D$18="Land Registry Data",'House Prices (Mid and SW Wales)'!H38,'House Prices (Mid and SW Wales)'!Z38)</f>
        <v>151529.36801313708</v>
      </c>
    </row>
    <row r="39" spans="2:33" x14ac:dyDescent="0.25">
      <c r="B39" s="20">
        <v>45</v>
      </c>
      <c r="C39" s="58">
        <v>135000</v>
      </c>
      <c r="D39" s="59">
        <f>C39*(1+'Tenure Split (Mid and SW Wales)'!C$118)</f>
        <v>138834.75401456776</v>
      </c>
      <c r="E39" s="59">
        <f>D39*(1+'Tenure Split (Mid and SW Wales)'!D$118)</f>
        <v>139143.87719449023</v>
      </c>
      <c r="F39" s="59">
        <f>E39*(1+'Tenure Split (Mid and SW Wales)'!E$118)</f>
        <v>142138.86288585892</v>
      </c>
      <c r="G39" s="59">
        <f>F39*(1+'Tenure Split (Mid and SW Wales)'!F$118)</f>
        <v>147682.16035293674</v>
      </c>
      <c r="H39" s="59">
        <f>G39*(1+'Tenure Split (Mid and SW Wales)'!G$118)</f>
        <v>153808.00512611662</v>
      </c>
      <c r="L39" s="64" t="str">
        <f t="shared" si="0"/>
        <v/>
      </c>
      <c r="M39" s="264"/>
      <c r="N39" s="14">
        <f t="shared" si="3"/>
        <v>1</v>
      </c>
      <c r="T39" s="1">
        <f t="shared" si="1"/>
        <v>45</v>
      </c>
      <c r="U39" s="4" t="str">
        <f t="shared" si="2"/>
        <v/>
      </c>
      <c r="V39" s="4" t="e">
        <f>IF($V$3=$M$3,M39,U39*(1+'Tenure Split (WALES)'!C$118))</f>
        <v>#VALUE!</v>
      </c>
      <c r="W39" s="4" t="e">
        <f>V39*(1+'Tenure Split (WALES)'!D$118)</f>
        <v>#VALUE!</v>
      </c>
      <c r="X39" s="4" t="e">
        <f>W39*(1+'Tenure Split (WALES)'!E$118)</f>
        <v>#VALUE!</v>
      </c>
      <c r="Y39" s="4" t="e">
        <f>X39*(1+'Tenure Split (WALES)'!F$118)</f>
        <v>#VALUE!</v>
      </c>
      <c r="Z39" s="4" t="e">
        <f>Y39*(1+'Tenure Split (WALES)'!G$118)</f>
        <v>#VALUE!</v>
      </c>
      <c r="AB39" s="1">
        <v>45</v>
      </c>
      <c r="AC39" s="4">
        <f>IF('Tenure Split (WALES)'!$D$18="Land Registry Data",'House Prices (Mid and SW Wales)'!D39,'House Prices (Mid and SW Wales)'!V39)</f>
        <v>138834.75401456776</v>
      </c>
      <c r="AD39" s="4">
        <f>IF('Tenure Split (WALES)'!$D$18="Land Registry Data",'House Prices (Mid and SW Wales)'!E39,'House Prices (Mid and SW Wales)'!W39)</f>
        <v>139143.87719449023</v>
      </c>
      <c r="AE39" s="4">
        <f>IF('Tenure Split (WALES)'!$D$18="Land Registry Data",'House Prices (Mid and SW Wales)'!F39,'House Prices (Mid and SW Wales)'!X39)</f>
        <v>142138.86288585892</v>
      </c>
      <c r="AF39" s="4">
        <f>IF('Tenure Split (WALES)'!$D$18="Land Registry Data",'House Prices (Mid and SW Wales)'!G39,'House Prices (Mid and SW Wales)'!Y39)</f>
        <v>147682.16035293674</v>
      </c>
      <c r="AG39" s="4">
        <f>IF('Tenure Split (WALES)'!$D$18="Land Registry Data",'House Prices (Mid and SW Wales)'!H39,'House Prices (Mid and SW Wales)'!Z39)</f>
        <v>153808.00512611662</v>
      </c>
    </row>
    <row r="40" spans="2:33" x14ac:dyDescent="0.25">
      <c r="B40" s="20">
        <v>46</v>
      </c>
      <c r="C40" s="58">
        <v>136000</v>
      </c>
      <c r="D40" s="59">
        <f>C40*(1+'Tenure Split (Mid and SW Wales)'!C$118)</f>
        <v>139863.15959986084</v>
      </c>
      <c r="E40" s="59">
        <f>D40*(1+'Tenure Split (Mid and SW Wales)'!D$118)</f>
        <v>140174.57258111605</v>
      </c>
      <c r="F40" s="59">
        <f>E40*(1+'Tenure Split (Mid and SW Wales)'!E$118)</f>
        <v>143191.74335168008</v>
      </c>
      <c r="G40" s="59">
        <f>F40*(1+'Tenure Split (Mid and SW Wales)'!F$118)</f>
        <v>148776.10228147701</v>
      </c>
      <c r="H40" s="59">
        <f>G40*(1+'Tenure Split (Mid and SW Wales)'!G$118)</f>
        <v>154947.32368260637</v>
      </c>
      <c r="L40" s="64" t="str">
        <f t="shared" si="0"/>
        <v/>
      </c>
      <c r="M40" s="264"/>
      <c r="N40" s="14">
        <f t="shared" si="3"/>
        <v>1</v>
      </c>
      <c r="T40" s="1">
        <f t="shared" si="1"/>
        <v>46</v>
      </c>
      <c r="U40" s="4" t="str">
        <f t="shared" si="2"/>
        <v/>
      </c>
      <c r="V40" s="4" t="e">
        <f>IF($V$3=$M$3,M40,U40*(1+'Tenure Split (WALES)'!C$118))</f>
        <v>#VALUE!</v>
      </c>
      <c r="W40" s="4" t="e">
        <f>V40*(1+'Tenure Split (WALES)'!D$118)</f>
        <v>#VALUE!</v>
      </c>
      <c r="X40" s="4" t="e">
        <f>W40*(1+'Tenure Split (WALES)'!E$118)</f>
        <v>#VALUE!</v>
      </c>
      <c r="Y40" s="4" t="e">
        <f>X40*(1+'Tenure Split (WALES)'!F$118)</f>
        <v>#VALUE!</v>
      </c>
      <c r="Z40" s="4" t="e">
        <f>Y40*(1+'Tenure Split (WALES)'!G$118)</f>
        <v>#VALUE!</v>
      </c>
      <c r="AB40" s="1">
        <v>46</v>
      </c>
      <c r="AC40" s="4">
        <f>IF('Tenure Split (WALES)'!$D$18="Land Registry Data",'House Prices (Mid and SW Wales)'!D40,'House Prices (Mid and SW Wales)'!V40)</f>
        <v>139863.15959986084</v>
      </c>
      <c r="AD40" s="4">
        <f>IF('Tenure Split (WALES)'!$D$18="Land Registry Data",'House Prices (Mid and SW Wales)'!E40,'House Prices (Mid and SW Wales)'!W40)</f>
        <v>140174.57258111605</v>
      </c>
      <c r="AE40" s="4">
        <f>IF('Tenure Split (WALES)'!$D$18="Land Registry Data",'House Prices (Mid and SW Wales)'!F40,'House Prices (Mid and SW Wales)'!X40)</f>
        <v>143191.74335168008</v>
      </c>
      <c r="AF40" s="4">
        <f>IF('Tenure Split (WALES)'!$D$18="Land Registry Data",'House Prices (Mid and SW Wales)'!G40,'House Prices (Mid and SW Wales)'!Y40)</f>
        <v>148776.10228147701</v>
      </c>
      <c r="AG40" s="4">
        <f>IF('Tenure Split (WALES)'!$D$18="Land Registry Data",'House Prices (Mid and SW Wales)'!H40,'House Prices (Mid and SW Wales)'!Z40)</f>
        <v>154947.32368260637</v>
      </c>
    </row>
    <row r="41" spans="2:33" x14ac:dyDescent="0.25">
      <c r="B41" s="20">
        <v>47</v>
      </c>
      <c r="C41" s="58">
        <v>138042.77999999997</v>
      </c>
      <c r="D41" s="59">
        <f>C41*(1+'Tenure Split (Mid and SW Wales)'!C$118)</f>
        <v>141963.96596138584</v>
      </c>
      <c r="E41" s="59">
        <f>D41*(1+'Tenure Split (Mid and SW Wales)'!D$118)</f>
        <v>142280.0565030076</v>
      </c>
      <c r="F41" s="59">
        <f>E41*(1+'Tenure Split (Mid and SW Wales)'!E$118)</f>
        <v>145342.54650965024</v>
      </c>
      <c r="G41" s="59">
        <f>F41*(1+'Tenure Split (Mid and SW Wales)'!F$118)</f>
        <v>151010.78497426049</v>
      </c>
      <c r="H41" s="59">
        <f>G41*(1+'Tenure Split (Mid and SW Wales)'!G$118)</f>
        <v>157274.70084343248</v>
      </c>
      <c r="L41" s="64" t="str">
        <f t="shared" si="0"/>
        <v/>
      </c>
      <c r="M41" s="264"/>
      <c r="N41" s="14">
        <f t="shared" si="3"/>
        <v>1</v>
      </c>
      <c r="T41" s="1">
        <f t="shared" si="1"/>
        <v>47</v>
      </c>
      <c r="U41" s="4" t="str">
        <f t="shared" si="2"/>
        <v/>
      </c>
      <c r="V41" s="4" t="e">
        <f>IF($V$3=$M$3,M41,U41*(1+'Tenure Split (WALES)'!C$118))</f>
        <v>#VALUE!</v>
      </c>
      <c r="W41" s="4" t="e">
        <f>V41*(1+'Tenure Split (WALES)'!D$118)</f>
        <v>#VALUE!</v>
      </c>
      <c r="X41" s="4" t="e">
        <f>W41*(1+'Tenure Split (WALES)'!E$118)</f>
        <v>#VALUE!</v>
      </c>
      <c r="Y41" s="4" t="e">
        <f>X41*(1+'Tenure Split (WALES)'!F$118)</f>
        <v>#VALUE!</v>
      </c>
      <c r="Z41" s="4" t="e">
        <f>Y41*(1+'Tenure Split (WALES)'!G$118)</f>
        <v>#VALUE!</v>
      </c>
      <c r="AB41" s="1">
        <v>47</v>
      </c>
      <c r="AC41" s="4">
        <f>IF('Tenure Split (WALES)'!$D$18="Land Registry Data",'House Prices (Mid and SW Wales)'!D41,'House Prices (Mid and SW Wales)'!V41)</f>
        <v>141963.96596138584</v>
      </c>
      <c r="AD41" s="4">
        <f>IF('Tenure Split (WALES)'!$D$18="Land Registry Data",'House Prices (Mid and SW Wales)'!E41,'House Prices (Mid and SW Wales)'!W41)</f>
        <v>142280.0565030076</v>
      </c>
      <c r="AE41" s="4">
        <f>IF('Tenure Split (WALES)'!$D$18="Land Registry Data",'House Prices (Mid and SW Wales)'!F41,'House Prices (Mid and SW Wales)'!X41)</f>
        <v>145342.54650965024</v>
      </c>
      <c r="AF41" s="4">
        <f>IF('Tenure Split (WALES)'!$D$18="Land Registry Data",'House Prices (Mid and SW Wales)'!G41,'House Prices (Mid and SW Wales)'!Y41)</f>
        <v>151010.78497426049</v>
      </c>
      <c r="AG41" s="4">
        <f>IF('Tenure Split (WALES)'!$D$18="Land Registry Data",'House Prices (Mid and SW Wales)'!H41,'House Prices (Mid and SW Wales)'!Z41)</f>
        <v>157274.70084343248</v>
      </c>
    </row>
    <row r="42" spans="2:33" x14ac:dyDescent="0.25">
      <c r="B42" s="20">
        <v>48</v>
      </c>
      <c r="C42" s="58">
        <v>140000</v>
      </c>
      <c r="D42" s="59">
        <f>C42*(1+'Tenure Split (Mid and SW Wales)'!C$118)</f>
        <v>143976.78194103323</v>
      </c>
      <c r="E42" s="59">
        <f>D42*(1+'Tenure Split (Mid and SW Wales)'!D$118)</f>
        <v>144297.35412761947</v>
      </c>
      <c r="F42" s="59">
        <f>E42*(1+'Tenure Split (Mid and SW Wales)'!E$118)</f>
        <v>147403.26521496481</v>
      </c>
      <c r="G42" s="59">
        <f>F42*(1+'Tenure Split (Mid and SW Wales)'!F$118)</f>
        <v>153151.86999563812</v>
      </c>
      <c r="H42" s="59">
        <f>G42*(1+'Tenure Split (Mid and SW Wales)'!G$118)</f>
        <v>159504.5979085654</v>
      </c>
      <c r="L42" s="64" t="str">
        <f t="shared" si="0"/>
        <v/>
      </c>
      <c r="M42" s="264"/>
      <c r="N42" s="14">
        <f t="shared" si="3"/>
        <v>1</v>
      </c>
      <c r="T42" s="1">
        <f t="shared" si="1"/>
        <v>48</v>
      </c>
      <c r="U42" s="4" t="str">
        <f t="shared" si="2"/>
        <v/>
      </c>
      <c r="V42" s="4" t="e">
        <f>IF($V$3=$M$3,M42,U42*(1+'Tenure Split (WALES)'!C$118))</f>
        <v>#VALUE!</v>
      </c>
      <c r="W42" s="4" t="e">
        <f>V42*(1+'Tenure Split (WALES)'!D$118)</f>
        <v>#VALUE!</v>
      </c>
      <c r="X42" s="4" t="e">
        <f>W42*(1+'Tenure Split (WALES)'!E$118)</f>
        <v>#VALUE!</v>
      </c>
      <c r="Y42" s="4" t="e">
        <f>X42*(1+'Tenure Split (WALES)'!F$118)</f>
        <v>#VALUE!</v>
      </c>
      <c r="Z42" s="4" t="e">
        <f>Y42*(1+'Tenure Split (WALES)'!G$118)</f>
        <v>#VALUE!</v>
      </c>
      <c r="AB42" s="1">
        <v>48</v>
      </c>
      <c r="AC42" s="4">
        <f>IF('Tenure Split (WALES)'!$D$18="Land Registry Data",'House Prices (Mid and SW Wales)'!D42,'House Prices (Mid and SW Wales)'!V42)</f>
        <v>143976.78194103323</v>
      </c>
      <c r="AD42" s="4">
        <f>IF('Tenure Split (WALES)'!$D$18="Land Registry Data",'House Prices (Mid and SW Wales)'!E42,'House Prices (Mid and SW Wales)'!W42)</f>
        <v>144297.35412761947</v>
      </c>
      <c r="AE42" s="4">
        <f>IF('Tenure Split (WALES)'!$D$18="Land Registry Data",'House Prices (Mid and SW Wales)'!F42,'House Prices (Mid and SW Wales)'!X42)</f>
        <v>147403.26521496481</v>
      </c>
      <c r="AF42" s="4">
        <f>IF('Tenure Split (WALES)'!$D$18="Land Registry Data",'House Prices (Mid and SW Wales)'!G42,'House Prices (Mid and SW Wales)'!Y42)</f>
        <v>153151.86999563812</v>
      </c>
      <c r="AG42" s="4">
        <f>IF('Tenure Split (WALES)'!$D$18="Land Registry Data",'House Prices (Mid and SW Wales)'!H42,'House Prices (Mid and SW Wales)'!Z42)</f>
        <v>159504.5979085654</v>
      </c>
    </row>
    <row r="43" spans="2:33" x14ac:dyDescent="0.25">
      <c r="B43" s="20">
        <v>49</v>
      </c>
      <c r="C43" s="58">
        <v>141500</v>
      </c>
      <c r="D43" s="59">
        <f>C43*(1+'Tenure Split (Mid and SW Wales)'!C$118)</f>
        <v>145519.39031897287</v>
      </c>
      <c r="E43" s="59">
        <f>D43*(1+'Tenure Split (Mid and SW Wales)'!D$118)</f>
        <v>145843.39720755827</v>
      </c>
      <c r="F43" s="59">
        <f>E43*(1+'Tenure Split (Mid and SW Wales)'!E$118)</f>
        <v>148982.58591369659</v>
      </c>
      <c r="G43" s="59">
        <f>F43*(1+'Tenure Split (Mid and SW Wales)'!F$118)</f>
        <v>154792.78288844854</v>
      </c>
      <c r="H43" s="59">
        <f>G43*(1+'Tenure Split (Mid and SW Wales)'!G$118)</f>
        <v>161213.57574330003</v>
      </c>
      <c r="L43" s="64" t="str">
        <f t="shared" si="0"/>
        <v/>
      </c>
      <c r="M43" s="264"/>
      <c r="N43" s="14">
        <f t="shared" si="3"/>
        <v>1</v>
      </c>
      <c r="T43" s="1">
        <f t="shared" si="1"/>
        <v>49</v>
      </c>
      <c r="U43" s="4" t="str">
        <f t="shared" si="2"/>
        <v/>
      </c>
      <c r="V43" s="4" t="e">
        <f>IF($V$3=$M$3,M43,U43*(1+'Tenure Split (WALES)'!C$118))</f>
        <v>#VALUE!</v>
      </c>
      <c r="W43" s="4" t="e">
        <f>V43*(1+'Tenure Split (WALES)'!D$118)</f>
        <v>#VALUE!</v>
      </c>
      <c r="X43" s="4" t="e">
        <f>W43*(1+'Tenure Split (WALES)'!E$118)</f>
        <v>#VALUE!</v>
      </c>
      <c r="Y43" s="4" t="e">
        <f>X43*(1+'Tenure Split (WALES)'!F$118)</f>
        <v>#VALUE!</v>
      </c>
      <c r="Z43" s="4" t="e">
        <f>Y43*(1+'Tenure Split (WALES)'!G$118)</f>
        <v>#VALUE!</v>
      </c>
      <c r="AB43" s="1">
        <v>49</v>
      </c>
      <c r="AC43" s="4">
        <f>IF('Tenure Split (WALES)'!$D$18="Land Registry Data",'House Prices (Mid and SW Wales)'!D43,'House Prices (Mid and SW Wales)'!V43)</f>
        <v>145519.39031897287</v>
      </c>
      <c r="AD43" s="4">
        <f>IF('Tenure Split (WALES)'!$D$18="Land Registry Data",'House Prices (Mid and SW Wales)'!E43,'House Prices (Mid and SW Wales)'!W43)</f>
        <v>145843.39720755827</v>
      </c>
      <c r="AE43" s="4">
        <f>IF('Tenure Split (WALES)'!$D$18="Land Registry Data",'House Prices (Mid and SW Wales)'!F43,'House Prices (Mid and SW Wales)'!X43)</f>
        <v>148982.58591369659</v>
      </c>
      <c r="AF43" s="4">
        <f>IF('Tenure Split (WALES)'!$D$18="Land Registry Data",'House Prices (Mid and SW Wales)'!G43,'House Prices (Mid and SW Wales)'!Y43)</f>
        <v>154792.78288844854</v>
      </c>
      <c r="AG43" s="4">
        <f>IF('Tenure Split (WALES)'!$D$18="Land Registry Data",'House Prices (Mid and SW Wales)'!H43,'House Prices (Mid and SW Wales)'!Z43)</f>
        <v>161213.57574330003</v>
      </c>
    </row>
    <row r="44" spans="2:33" x14ac:dyDescent="0.25">
      <c r="B44" s="20">
        <v>50</v>
      </c>
      <c r="C44" s="58">
        <v>144000</v>
      </c>
      <c r="D44" s="59">
        <f>C44*(1+'Tenure Split (Mid and SW Wales)'!C$118)</f>
        <v>148090.40428220559</v>
      </c>
      <c r="E44" s="59">
        <f>D44*(1+'Tenure Split (Mid and SW Wales)'!D$118)</f>
        <v>148420.13567412287</v>
      </c>
      <c r="F44" s="59">
        <f>E44*(1+'Tenure Split (Mid and SW Wales)'!E$118)</f>
        <v>151614.78707824947</v>
      </c>
      <c r="G44" s="59">
        <f>F44*(1+'Tenure Split (Mid and SW Wales)'!F$118)</f>
        <v>157527.63770979916</v>
      </c>
      <c r="H44" s="59">
        <f>G44*(1+'Tenure Split (Mid and SW Wales)'!G$118)</f>
        <v>164061.87213452437</v>
      </c>
      <c r="L44" s="64" t="str">
        <f t="shared" si="0"/>
        <v/>
      </c>
      <c r="M44" s="264"/>
      <c r="N44" s="14">
        <f t="shared" si="3"/>
        <v>1</v>
      </c>
      <c r="T44" s="1">
        <f t="shared" si="1"/>
        <v>50</v>
      </c>
      <c r="U44" s="4" t="str">
        <f t="shared" si="2"/>
        <v/>
      </c>
      <c r="V44" s="4" t="e">
        <f>IF($V$3=$M$3,M44,U44*(1+'Tenure Split (WALES)'!C$118))</f>
        <v>#VALUE!</v>
      </c>
      <c r="W44" s="4" t="e">
        <f>V44*(1+'Tenure Split (WALES)'!D$118)</f>
        <v>#VALUE!</v>
      </c>
      <c r="X44" s="4" t="e">
        <f>W44*(1+'Tenure Split (WALES)'!E$118)</f>
        <v>#VALUE!</v>
      </c>
      <c r="Y44" s="4" t="e">
        <f>X44*(1+'Tenure Split (WALES)'!F$118)</f>
        <v>#VALUE!</v>
      </c>
      <c r="Z44" s="4" t="e">
        <f>Y44*(1+'Tenure Split (WALES)'!G$118)</f>
        <v>#VALUE!</v>
      </c>
      <c r="AB44" s="1">
        <v>50</v>
      </c>
      <c r="AC44" s="4">
        <f>IF('Tenure Split (WALES)'!$D$18="Land Registry Data",'House Prices (Mid and SW Wales)'!D44,'House Prices (Mid and SW Wales)'!V44)</f>
        <v>148090.40428220559</v>
      </c>
      <c r="AD44" s="4">
        <f>IF('Tenure Split (WALES)'!$D$18="Land Registry Data",'House Prices (Mid and SW Wales)'!E44,'House Prices (Mid and SW Wales)'!W44)</f>
        <v>148420.13567412287</v>
      </c>
      <c r="AE44" s="4">
        <f>IF('Tenure Split (WALES)'!$D$18="Land Registry Data",'House Prices (Mid and SW Wales)'!F44,'House Prices (Mid and SW Wales)'!X44)</f>
        <v>151614.78707824947</v>
      </c>
      <c r="AF44" s="4">
        <f>IF('Tenure Split (WALES)'!$D$18="Land Registry Data",'House Prices (Mid and SW Wales)'!G44,'House Prices (Mid and SW Wales)'!Y44)</f>
        <v>157527.63770979916</v>
      </c>
      <c r="AG44" s="4">
        <f>IF('Tenure Split (WALES)'!$D$18="Land Registry Data",'House Prices (Mid and SW Wales)'!H44,'House Prices (Mid and SW Wales)'!Z44)</f>
        <v>164061.87213452437</v>
      </c>
    </row>
    <row r="45" spans="2:33" x14ac:dyDescent="0.25">
      <c r="B45" s="20">
        <v>51</v>
      </c>
      <c r="C45" s="58">
        <v>145000</v>
      </c>
      <c r="D45" s="59">
        <f>C45*(1+'Tenure Split (Mid and SW Wales)'!C$118)</f>
        <v>149118.8098674987</v>
      </c>
      <c r="E45" s="59">
        <f>D45*(1+'Tenure Split (Mid and SW Wales)'!D$118)</f>
        <v>149450.83106074875</v>
      </c>
      <c r="F45" s="59">
        <f>E45*(1+'Tenure Split (Mid and SW Wales)'!E$118)</f>
        <v>152667.66754407069</v>
      </c>
      <c r="G45" s="59">
        <f>F45*(1+'Tenure Split (Mid and SW Wales)'!F$118)</f>
        <v>158621.57963833946</v>
      </c>
      <c r="H45" s="59">
        <f>G45*(1+'Tenure Split (Mid and SW Wales)'!G$118)</f>
        <v>165201.19069101414</v>
      </c>
      <c r="L45" s="64" t="str">
        <f t="shared" si="0"/>
        <v/>
      </c>
      <c r="M45" s="264"/>
      <c r="N45" s="14">
        <f t="shared" si="3"/>
        <v>1</v>
      </c>
      <c r="T45" s="1">
        <f t="shared" si="1"/>
        <v>51</v>
      </c>
      <c r="U45" s="4" t="str">
        <f t="shared" si="2"/>
        <v/>
      </c>
      <c r="V45" s="4" t="e">
        <f>IF($V$3=$M$3,M45,U45*(1+'Tenure Split (WALES)'!C$118))</f>
        <v>#VALUE!</v>
      </c>
      <c r="W45" s="4" t="e">
        <f>V45*(1+'Tenure Split (WALES)'!D$118)</f>
        <v>#VALUE!</v>
      </c>
      <c r="X45" s="4" t="e">
        <f>W45*(1+'Tenure Split (WALES)'!E$118)</f>
        <v>#VALUE!</v>
      </c>
      <c r="Y45" s="4" t="e">
        <f>X45*(1+'Tenure Split (WALES)'!F$118)</f>
        <v>#VALUE!</v>
      </c>
      <c r="Z45" s="4" t="e">
        <f>Y45*(1+'Tenure Split (WALES)'!G$118)</f>
        <v>#VALUE!</v>
      </c>
      <c r="AB45" s="1">
        <v>51</v>
      </c>
      <c r="AC45" s="4">
        <f>IF('Tenure Split (WALES)'!$D$18="Land Registry Data",'House Prices (Mid and SW Wales)'!D45,'House Prices (Mid and SW Wales)'!V45)</f>
        <v>149118.8098674987</v>
      </c>
      <c r="AD45" s="4">
        <f>IF('Tenure Split (WALES)'!$D$18="Land Registry Data",'House Prices (Mid and SW Wales)'!E45,'House Prices (Mid and SW Wales)'!W45)</f>
        <v>149450.83106074875</v>
      </c>
      <c r="AE45" s="4">
        <f>IF('Tenure Split (WALES)'!$D$18="Land Registry Data",'House Prices (Mid and SW Wales)'!F45,'House Prices (Mid and SW Wales)'!X45)</f>
        <v>152667.66754407069</v>
      </c>
      <c r="AF45" s="4">
        <f>IF('Tenure Split (WALES)'!$D$18="Land Registry Data",'House Prices (Mid and SW Wales)'!G45,'House Prices (Mid and SW Wales)'!Y45)</f>
        <v>158621.57963833946</v>
      </c>
      <c r="AG45" s="4">
        <f>IF('Tenure Split (WALES)'!$D$18="Land Registry Data",'House Prices (Mid and SW Wales)'!H45,'House Prices (Mid and SW Wales)'!Z45)</f>
        <v>165201.19069101414</v>
      </c>
    </row>
    <row r="46" spans="2:33" x14ac:dyDescent="0.25">
      <c r="B46" s="20">
        <v>52</v>
      </c>
      <c r="C46" s="58">
        <v>147000</v>
      </c>
      <c r="D46" s="59">
        <f>C46*(1+'Tenure Split (Mid and SW Wales)'!C$118)</f>
        <v>151175.62103808488</v>
      </c>
      <c r="E46" s="59">
        <f>D46*(1+'Tenure Split (Mid and SW Wales)'!D$118)</f>
        <v>151512.22183400043</v>
      </c>
      <c r="F46" s="59">
        <f>E46*(1+'Tenure Split (Mid and SW Wales)'!E$118)</f>
        <v>154773.42847571304</v>
      </c>
      <c r="G46" s="59">
        <f>F46*(1+'Tenure Split (Mid and SW Wales)'!F$118)</f>
        <v>160809.46349542</v>
      </c>
      <c r="H46" s="59">
        <f>G46*(1+'Tenure Split (Mid and SW Wales)'!G$118)</f>
        <v>167479.82780399366</v>
      </c>
      <c r="L46" s="64" t="str">
        <f t="shared" si="0"/>
        <v/>
      </c>
      <c r="M46" s="264"/>
      <c r="N46" s="14">
        <f t="shared" si="3"/>
        <v>1</v>
      </c>
      <c r="T46" s="1">
        <f t="shared" si="1"/>
        <v>52</v>
      </c>
      <c r="U46" s="4" t="str">
        <f t="shared" si="2"/>
        <v/>
      </c>
      <c r="V46" s="4" t="e">
        <f>IF($V$3=$M$3,M46,U46*(1+'Tenure Split (WALES)'!C$118))</f>
        <v>#VALUE!</v>
      </c>
      <c r="W46" s="4" t="e">
        <f>V46*(1+'Tenure Split (WALES)'!D$118)</f>
        <v>#VALUE!</v>
      </c>
      <c r="X46" s="4" t="e">
        <f>W46*(1+'Tenure Split (WALES)'!E$118)</f>
        <v>#VALUE!</v>
      </c>
      <c r="Y46" s="4" t="e">
        <f>X46*(1+'Tenure Split (WALES)'!F$118)</f>
        <v>#VALUE!</v>
      </c>
      <c r="Z46" s="4" t="e">
        <f>Y46*(1+'Tenure Split (WALES)'!G$118)</f>
        <v>#VALUE!</v>
      </c>
      <c r="AB46" s="1">
        <v>52</v>
      </c>
      <c r="AC46" s="4">
        <f>IF('Tenure Split (WALES)'!$D$18="Land Registry Data",'House Prices (Mid and SW Wales)'!D46,'House Prices (Mid and SW Wales)'!V46)</f>
        <v>151175.62103808488</v>
      </c>
      <c r="AD46" s="4">
        <f>IF('Tenure Split (WALES)'!$D$18="Land Registry Data",'House Prices (Mid and SW Wales)'!E46,'House Prices (Mid and SW Wales)'!W46)</f>
        <v>151512.22183400043</v>
      </c>
      <c r="AE46" s="4">
        <f>IF('Tenure Split (WALES)'!$D$18="Land Registry Data",'House Prices (Mid and SW Wales)'!F46,'House Prices (Mid and SW Wales)'!X46)</f>
        <v>154773.42847571304</v>
      </c>
      <c r="AF46" s="4">
        <f>IF('Tenure Split (WALES)'!$D$18="Land Registry Data",'House Prices (Mid and SW Wales)'!G46,'House Prices (Mid and SW Wales)'!Y46)</f>
        <v>160809.46349542</v>
      </c>
      <c r="AG46" s="4">
        <f>IF('Tenure Split (WALES)'!$D$18="Land Registry Data",'House Prices (Mid and SW Wales)'!H46,'House Prices (Mid and SW Wales)'!Z46)</f>
        <v>167479.82780399366</v>
      </c>
    </row>
    <row r="47" spans="2:33" x14ac:dyDescent="0.25">
      <c r="B47" s="20">
        <v>53</v>
      </c>
      <c r="C47" s="58">
        <v>149950</v>
      </c>
      <c r="D47" s="59">
        <f>C47*(1+'Tenure Split (Mid and SW Wales)'!C$118)</f>
        <v>154209.41751469951</v>
      </c>
      <c r="E47" s="59">
        <f>D47*(1+'Tenure Split (Mid and SW Wales)'!D$118)</f>
        <v>154552.77322454672</v>
      </c>
      <c r="F47" s="59">
        <f>E47*(1+'Tenure Split (Mid and SW Wales)'!E$118)</f>
        <v>157879.42584988551</v>
      </c>
      <c r="G47" s="59">
        <f>F47*(1+'Tenure Split (Mid and SW Wales)'!F$118)</f>
        <v>164036.59218461381</v>
      </c>
      <c r="H47" s="59">
        <f>G47*(1+'Tenure Split (Mid and SW Wales)'!G$118)</f>
        <v>170840.81754563842</v>
      </c>
      <c r="L47" s="64" t="str">
        <f t="shared" si="0"/>
        <v/>
      </c>
      <c r="M47" s="264"/>
      <c r="N47" s="14">
        <f t="shared" si="3"/>
        <v>1</v>
      </c>
      <c r="T47" s="1">
        <f t="shared" si="1"/>
        <v>53</v>
      </c>
      <c r="U47" s="4" t="str">
        <f t="shared" si="2"/>
        <v/>
      </c>
      <c r="V47" s="4" t="e">
        <f>IF($V$3=$M$3,M47,U47*(1+'Tenure Split (WALES)'!C$118))</f>
        <v>#VALUE!</v>
      </c>
      <c r="W47" s="4" t="e">
        <f>V47*(1+'Tenure Split (WALES)'!D$118)</f>
        <v>#VALUE!</v>
      </c>
      <c r="X47" s="4" t="e">
        <f>W47*(1+'Tenure Split (WALES)'!E$118)</f>
        <v>#VALUE!</v>
      </c>
      <c r="Y47" s="4" t="e">
        <f>X47*(1+'Tenure Split (WALES)'!F$118)</f>
        <v>#VALUE!</v>
      </c>
      <c r="Z47" s="4" t="e">
        <f>Y47*(1+'Tenure Split (WALES)'!G$118)</f>
        <v>#VALUE!</v>
      </c>
      <c r="AB47" s="1">
        <v>53</v>
      </c>
      <c r="AC47" s="4">
        <f>IF('Tenure Split (WALES)'!$D$18="Land Registry Data",'House Prices (Mid and SW Wales)'!D47,'House Prices (Mid and SW Wales)'!V47)</f>
        <v>154209.41751469951</v>
      </c>
      <c r="AD47" s="4">
        <f>IF('Tenure Split (WALES)'!$D$18="Land Registry Data",'House Prices (Mid and SW Wales)'!E47,'House Prices (Mid and SW Wales)'!W47)</f>
        <v>154552.77322454672</v>
      </c>
      <c r="AE47" s="4">
        <f>IF('Tenure Split (WALES)'!$D$18="Land Registry Data",'House Prices (Mid and SW Wales)'!F47,'House Prices (Mid and SW Wales)'!X47)</f>
        <v>157879.42584988551</v>
      </c>
      <c r="AF47" s="4">
        <f>IF('Tenure Split (WALES)'!$D$18="Land Registry Data",'House Prices (Mid and SW Wales)'!G47,'House Prices (Mid and SW Wales)'!Y47)</f>
        <v>164036.59218461381</v>
      </c>
      <c r="AG47" s="4">
        <f>IF('Tenure Split (WALES)'!$D$18="Land Registry Data",'House Prices (Mid and SW Wales)'!H47,'House Prices (Mid and SW Wales)'!Z47)</f>
        <v>170840.81754563842</v>
      </c>
    </row>
    <row r="48" spans="2:33" x14ac:dyDescent="0.25">
      <c r="B48" s="20">
        <v>54</v>
      </c>
      <c r="C48" s="58">
        <v>150000</v>
      </c>
      <c r="D48" s="59">
        <f>C48*(1+'Tenure Split (Mid and SW Wales)'!C$118)</f>
        <v>154260.83779396417</v>
      </c>
      <c r="E48" s="59">
        <f>D48*(1+'Tenure Split (Mid and SW Wales)'!D$118)</f>
        <v>154604.307993878</v>
      </c>
      <c r="F48" s="59">
        <f>E48*(1+'Tenure Split (Mid and SW Wales)'!E$118)</f>
        <v>157932.06987317657</v>
      </c>
      <c r="G48" s="59">
        <f>F48*(1+'Tenure Split (Mid and SW Wales)'!F$118)</f>
        <v>164091.28928104084</v>
      </c>
      <c r="H48" s="59">
        <f>G48*(1+'Tenure Split (Mid and SW Wales)'!G$118)</f>
        <v>170897.78347346291</v>
      </c>
      <c r="L48" s="64" t="str">
        <f t="shared" si="0"/>
        <v/>
      </c>
      <c r="M48" s="264"/>
      <c r="N48" s="14">
        <f t="shared" si="3"/>
        <v>1</v>
      </c>
      <c r="T48" s="1">
        <f t="shared" si="1"/>
        <v>54</v>
      </c>
      <c r="U48" s="4" t="str">
        <f t="shared" si="2"/>
        <v/>
      </c>
      <c r="V48" s="4" t="e">
        <f>IF($V$3=$M$3,M48,U48*(1+'Tenure Split (WALES)'!C$118))</f>
        <v>#VALUE!</v>
      </c>
      <c r="W48" s="4" t="e">
        <f>V48*(1+'Tenure Split (WALES)'!D$118)</f>
        <v>#VALUE!</v>
      </c>
      <c r="X48" s="4" t="e">
        <f>W48*(1+'Tenure Split (WALES)'!E$118)</f>
        <v>#VALUE!</v>
      </c>
      <c r="Y48" s="4" t="e">
        <f>X48*(1+'Tenure Split (WALES)'!F$118)</f>
        <v>#VALUE!</v>
      </c>
      <c r="Z48" s="4" t="e">
        <f>Y48*(1+'Tenure Split (WALES)'!G$118)</f>
        <v>#VALUE!</v>
      </c>
      <c r="AB48" s="1">
        <v>54</v>
      </c>
      <c r="AC48" s="4">
        <f>IF('Tenure Split (WALES)'!$D$18="Land Registry Data",'House Prices (Mid and SW Wales)'!D48,'House Prices (Mid and SW Wales)'!V48)</f>
        <v>154260.83779396417</v>
      </c>
      <c r="AD48" s="4">
        <f>IF('Tenure Split (WALES)'!$D$18="Land Registry Data",'House Prices (Mid and SW Wales)'!E48,'House Prices (Mid and SW Wales)'!W48)</f>
        <v>154604.307993878</v>
      </c>
      <c r="AE48" s="4">
        <f>IF('Tenure Split (WALES)'!$D$18="Land Registry Data",'House Prices (Mid and SW Wales)'!F48,'House Prices (Mid and SW Wales)'!X48)</f>
        <v>157932.06987317657</v>
      </c>
      <c r="AF48" s="4">
        <f>IF('Tenure Split (WALES)'!$D$18="Land Registry Data",'House Prices (Mid and SW Wales)'!G48,'House Prices (Mid and SW Wales)'!Y48)</f>
        <v>164091.28928104084</v>
      </c>
      <c r="AG48" s="4">
        <f>IF('Tenure Split (WALES)'!$D$18="Land Registry Data",'House Prices (Mid and SW Wales)'!H48,'House Prices (Mid and SW Wales)'!Z48)</f>
        <v>170897.78347346291</v>
      </c>
    </row>
    <row r="49" spans="2:33" x14ac:dyDescent="0.25">
      <c r="B49" s="20">
        <v>55</v>
      </c>
      <c r="C49" s="58">
        <v>152500</v>
      </c>
      <c r="D49" s="59">
        <f>C49*(1+'Tenure Split (Mid and SW Wales)'!C$118)</f>
        <v>156831.85175719691</v>
      </c>
      <c r="E49" s="59">
        <f>D49*(1+'Tenure Split (Mid and SW Wales)'!D$118)</f>
        <v>157181.04646044265</v>
      </c>
      <c r="F49" s="59">
        <f>E49*(1+'Tenure Split (Mid and SW Wales)'!E$118)</f>
        <v>160564.27103772952</v>
      </c>
      <c r="G49" s="59">
        <f>F49*(1+'Tenure Split (Mid and SW Wales)'!F$118)</f>
        <v>166826.1441023915</v>
      </c>
      <c r="H49" s="59">
        <f>G49*(1+'Tenure Split (Mid and SW Wales)'!G$118)</f>
        <v>173746.07986468729</v>
      </c>
      <c r="L49" s="64" t="str">
        <f t="shared" si="0"/>
        <v/>
      </c>
      <c r="M49" s="264"/>
      <c r="N49" s="14">
        <f t="shared" si="3"/>
        <v>1</v>
      </c>
      <c r="T49" s="1">
        <f t="shared" si="1"/>
        <v>55</v>
      </c>
      <c r="U49" s="4" t="str">
        <f t="shared" si="2"/>
        <v/>
      </c>
      <c r="V49" s="4" t="e">
        <f>IF($V$3=$M$3,M49,U49*(1+'Tenure Split (WALES)'!C$118))</f>
        <v>#VALUE!</v>
      </c>
      <c r="W49" s="4" t="e">
        <f>V49*(1+'Tenure Split (WALES)'!D$118)</f>
        <v>#VALUE!</v>
      </c>
      <c r="X49" s="4" t="e">
        <f>W49*(1+'Tenure Split (WALES)'!E$118)</f>
        <v>#VALUE!</v>
      </c>
      <c r="Y49" s="4" t="e">
        <f>X49*(1+'Tenure Split (WALES)'!F$118)</f>
        <v>#VALUE!</v>
      </c>
      <c r="Z49" s="4" t="e">
        <f>Y49*(1+'Tenure Split (WALES)'!G$118)</f>
        <v>#VALUE!</v>
      </c>
      <c r="AB49" s="1">
        <v>55</v>
      </c>
      <c r="AC49" s="4">
        <f>IF('Tenure Split (WALES)'!$D$18="Land Registry Data",'House Prices (Mid and SW Wales)'!D49,'House Prices (Mid and SW Wales)'!V49)</f>
        <v>156831.85175719691</v>
      </c>
      <c r="AD49" s="4">
        <f>IF('Tenure Split (WALES)'!$D$18="Land Registry Data",'House Prices (Mid and SW Wales)'!E49,'House Prices (Mid and SW Wales)'!W49)</f>
        <v>157181.04646044265</v>
      </c>
      <c r="AE49" s="4">
        <f>IF('Tenure Split (WALES)'!$D$18="Land Registry Data",'House Prices (Mid and SW Wales)'!F49,'House Prices (Mid and SW Wales)'!X49)</f>
        <v>160564.27103772952</v>
      </c>
      <c r="AF49" s="4">
        <f>IF('Tenure Split (WALES)'!$D$18="Land Registry Data",'House Prices (Mid and SW Wales)'!G49,'House Prices (Mid and SW Wales)'!Y49)</f>
        <v>166826.1441023915</v>
      </c>
      <c r="AG49" s="4">
        <f>IF('Tenure Split (WALES)'!$D$18="Land Registry Data",'House Prices (Mid and SW Wales)'!H49,'House Prices (Mid and SW Wales)'!Z49)</f>
        <v>173746.07986468729</v>
      </c>
    </row>
    <row r="50" spans="2:33" x14ac:dyDescent="0.25">
      <c r="B50" s="20">
        <v>56</v>
      </c>
      <c r="C50" s="58">
        <v>155000</v>
      </c>
      <c r="D50" s="59">
        <f>C50*(1+'Tenure Split (Mid and SW Wales)'!C$118)</f>
        <v>159402.86572042963</v>
      </c>
      <c r="E50" s="59">
        <f>D50*(1+'Tenure Split (Mid and SW Wales)'!D$118)</f>
        <v>159757.78492700728</v>
      </c>
      <c r="F50" s="59">
        <f>E50*(1+'Tenure Split (Mid and SW Wales)'!E$118)</f>
        <v>163196.47220228246</v>
      </c>
      <c r="G50" s="59">
        <f>F50*(1+'Tenure Split (Mid and SW Wales)'!F$118)</f>
        <v>169560.99892374218</v>
      </c>
      <c r="H50" s="59">
        <f>G50*(1+'Tenure Split (Mid and SW Wales)'!G$118)</f>
        <v>176594.37625591166</v>
      </c>
      <c r="L50" s="64" t="str">
        <f t="shared" si="0"/>
        <v/>
      </c>
      <c r="M50" s="264"/>
      <c r="N50" s="14">
        <f t="shared" si="3"/>
        <v>1</v>
      </c>
      <c r="T50" s="1">
        <f t="shared" si="1"/>
        <v>56</v>
      </c>
      <c r="U50" s="4" t="str">
        <f t="shared" si="2"/>
        <v/>
      </c>
      <c r="V50" s="4" t="e">
        <f>IF($V$3=$M$3,M50,U50*(1+'Tenure Split (WALES)'!C$118))</f>
        <v>#VALUE!</v>
      </c>
      <c r="W50" s="4" t="e">
        <f>V50*(1+'Tenure Split (WALES)'!D$118)</f>
        <v>#VALUE!</v>
      </c>
      <c r="X50" s="4" t="e">
        <f>W50*(1+'Tenure Split (WALES)'!E$118)</f>
        <v>#VALUE!</v>
      </c>
      <c r="Y50" s="4" t="e">
        <f>X50*(1+'Tenure Split (WALES)'!F$118)</f>
        <v>#VALUE!</v>
      </c>
      <c r="Z50" s="4" t="e">
        <f>Y50*(1+'Tenure Split (WALES)'!G$118)</f>
        <v>#VALUE!</v>
      </c>
      <c r="AB50" s="1">
        <v>56</v>
      </c>
      <c r="AC50" s="4">
        <f>IF('Tenure Split (WALES)'!$D$18="Land Registry Data",'House Prices (Mid and SW Wales)'!D50,'House Prices (Mid and SW Wales)'!V50)</f>
        <v>159402.86572042963</v>
      </c>
      <c r="AD50" s="4">
        <f>IF('Tenure Split (WALES)'!$D$18="Land Registry Data",'House Prices (Mid and SW Wales)'!E50,'House Prices (Mid and SW Wales)'!W50)</f>
        <v>159757.78492700728</v>
      </c>
      <c r="AE50" s="4">
        <f>IF('Tenure Split (WALES)'!$D$18="Land Registry Data",'House Prices (Mid and SW Wales)'!F50,'House Prices (Mid and SW Wales)'!X50)</f>
        <v>163196.47220228246</v>
      </c>
      <c r="AF50" s="4">
        <f>IF('Tenure Split (WALES)'!$D$18="Land Registry Data",'House Prices (Mid and SW Wales)'!G50,'House Prices (Mid and SW Wales)'!Y50)</f>
        <v>169560.99892374218</v>
      </c>
      <c r="AG50" s="4">
        <f>IF('Tenure Split (WALES)'!$D$18="Land Registry Data",'House Prices (Mid and SW Wales)'!H50,'House Prices (Mid and SW Wales)'!Z50)</f>
        <v>176594.37625591166</v>
      </c>
    </row>
    <row r="51" spans="2:33" x14ac:dyDescent="0.25">
      <c r="B51" s="20">
        <v>57</v>
      </c>
      <c r="C51" s="58">
        <v>157000</v>
      </c>
      <c r="D51" s="59">
        <f>C51*(1+'Tenure Split (Mid and SW Wales)'!C$118)</f>
        <v>161459.67689101584</v>
      </c>
      <c r="E51" s="59">
        <f>D51*(1+'Tenure Split (Mid and SW Wales)'!D$118)</f>
        <v>161819.17570025899</v>
      </c>
      <c r="F51" s="59">
        <f>E51*(1+'Tenure Split (Mid and SW Wales)'!E$118)</f>
        <v>165302.2331339248</v>
      </c>
      <c r="G51" s="59">
        <f>F51*(1+'Tenure Split (Mid and SW Wales)'!F$118)</f>
        <v>171748.88278082272</v>
      </c>
      <c r="H51" s="59">
        <f>G51*(1+'Tenure Split (Mid and SW Wales)'!G$118)</f>
        <v>178873.01336889117</v>
      </c>
      <c r="L51" s="64" t="str">
        <f t="shared" si="0"/>
        <v/>
      </c>
      <c r="M51" s="264"/>
      <c r="N51" s="14">
        <f t="shared" si="3"/>
        <v>1</v>
      </c>
      <c r="T51" s="1">
        <f t="shared" si="1"/>
        <v>57</v>
      </c>
      <c r="U51" s="4" t="str">
        <f t="shared" si="2"/>
        <v/>
      </c>
      <c r="V51" s="4" t="e">
        <f>IF($V$3=$M$3,M51,U51*(1+'Tenure Split (WALES)'!C$118))</f>
        <v>#VALUE!</v>
      </c>
      <c r="W51" s="4" t="e">
        <f>V51*(1+'Tenure Split (WALES)'!D$118)</f>
        <v>#VALUE!</v>
      </c>
      <c r="X51" s="4" t="e">
        <f>W51*(1+'Tenure Split (WALES)'!E$118)</f>
        <v>#VALUE!</v>
      </c>
      <c r="Y51" s="4" t="e">
        <f>X51*(1+'Tenure Split (WALES)'!F$118)</f>
        <v>#VALUE!</v>
      </c>
      <c r="Z51" s="4" t="e">
        <f>Y51*(1+'Tenure Split (WALES)'!G$118)</f>
        <v>#VALUE!</v>
      </c>
      <c r="AB51" s="1">
        <v>57</v>
      </c>
      <c r="AC51" s="4">
        <f>IF('Tenure Split (WALES)'!$D$18="Land Registry Data",'House Prices (Mid and SW Wales)'!D51,'House Prices (Mid and SW Wales)'!V51)</f>
        <v>161459.67689101584</v>
      </c>
      <c r="AD51" s="4">
        <f>IF('Tenure Split (WALES)'!$D$18="Land Registry Data",'House Prices (Mid and SW Wales)'!E51,'House Prices (Mid and SW Wales)'!W51)</f>
        <v>161819.17570025899</v>
      </c>
      <c r="AE51" s="4">
        <f>IF('Tenure Split (WALES)'!$D$18="Land Registry Data",'House Prices (Mid and SW Wales)'!F51,'House Prices (Mid and SW Wales)'!X51)</f>
        <v>165302.2331339248</v>
      </c>
      <c r="AF51" s="4">
        <f>IF('Tenure Split (WALES)'!$D$18="Land Registry Data",'House Prices (Mid and SW Wales)'!G51,'House Prices (Mid and SW Wales)'!Y51)</f>
        <v>171748.88278082272</v>
      </c>
      <c r="AG51" s="4">
        <f>IF('Tenure Split (WALES)'!$D$18="Land Registry Data",'House Prices (Mid and SW Wales)'!H51,'House Prices (Mid and SW Wales)'!Z51)</f>
        <v>178873.01336889117</v>
      </c>
    </row>
    <row r="52" spans="2:33" x14ac:dyDescent="0.25">
      <c r="B52" s="20">
        <v>58</v>
      </c>
      <c r="C52" s="58">
        <v>159500</v>
      </c>
      <c r="D52" s="59">
        <f>C52*(1+'Tenure Split (Mid and SW Wales)'!C$118)</f>
        <v>164030.69085424856</v>
      </c>
      <c r="E52" s="59">
        <f>D52*(1+'Tenure Split (Mid and SW Wales)'!D$118)</f>
        <v>164395.91416682361</v>
      </c>
      <c r="F52" s="59">
        <f>E52*(1+'Tenure Split (Mid and SW Wales)'!E$118)</f>
        <v>167934.43429847775</v>
      </c>
      <c r="G52" s="59">
        <f>F52*(1+'Tenure Split (Mid and SW Wales)'!F$118)</f>
        <v>174483.73760217341</v>
      </c>
      <c r="H52" s="59">
        <f>G52*(1+'Tenure Split (Mid and SW Wales)'!G$118)</f>
        <v>181721.30976011555</v>
      </c>
      <c r="L52" s="64" t="str">
        <f t="shared" si="0"/>
        <v/>
      </c>
      <c r="M52" s="264"/>
      <c r="N52" s="14">
        <f t="shared" si="3"/>
        <v>1</v>
      </c>
      <c r="T52" s="1">
        <f t="shared" si="1"/>
        <v>58</v>
      </c>
      <c r="U52" s="4" t="str">
        <f t="shared" si="2"/>
        <v/>
      </c>
      <c r="V52" s="4" t="e">
        <f>IF($V$3=$M$3,M52,U52*(1+'Tenure Split (WALES)'!C$118))</f>
        <v>#VALUE!</v>
      </c>
      <c r="W52" s="4" t="e">
        <f>V52*(1+'Tenure Split (WALES)'!D$118)</f>
        <v>#VALUE!</v>
      </c>
      <c r="X52" s="4" t="e">
        <f>W52*(1+'Tenure Split (WALES)'!E$118)</f>
        <v>#VALUE!</v>
      </c>
      <c r="Y52" s="4" t="e">
        <f>X52*(1+'Tenure Split (WALES)'!F$118)</f>
        <v>#VALUE!</v>
      </c>
      <c r="Z52" s="4" t="e">
        <f>Y52*(1+'Tenure Split (WALES)'!G$118)</f>
        <v>#VALUE!</v>
      </c>
      <c r="AB52" s="1">
        <v>58</v>
      </c>
      <c r="AC52" s="4">
        <f>IF('Tenure Split (WALES)'!$D$18="Land Registry Data",'House Prices (Mid and SW Wales)'!D52,'House Prices (Mid and SW Wales)'!V52)</f>
        <v>164030.69085424856</v>
      </c>
      <c r="AD52" s="4">
        <f>IF('Tenure Split (WALES)'!$D$18="Land Registry Data",'House Prices (Mid and SW Wales)'!E52,'House Prices (Mid and SW Wales)'!W52)</f>
        <v>164395.91416682361</v>
      </c>
      <c r="AE52" s="4">
        <f>IF('Tenure Split (WALES)'!$D$18="Land Registry Data",'House Prices (Mid and SW Wales)'!F52,'House Prices (Mid and SW Wales)'!X52)</f>
        <v>167934.43429847775</v>
      </c>
      <c r="AF52" s="4">
        <f>IF('Tenure Split (WALES)'!$D$18="Land Registry Data",'House Prices (Mid and SW Wales)'!G52,'House Prices (Mid and SW Wales)'!Y52)</f>
        <v>174483.73760217341</v>
      </c>
      <c r="AG52" s="4">
        <f>IF('Tenure Split (WALES)'!$D$18="Land Registry Data",'House Prices (Mid and SW Wales)'!H52,'House Prices (Mid and SW Wales)'!Z52)</f>
        <v>181721.30976011555</v>
      </c>
    </row>
    <row r="53" spans="2:33" x14ac:dyDescent="0.25">
      <c r="B53" s="20">
        <v>59</v>
      </c>
      <c r="C53" s="58">
        <v>160000</v>
      </c>
      <c r="D53" s="59">
        <f>C53*(1+'Tenure Split (Mid and SW Wales)'!C$118)</f>
        <v>164544.8936468951</v>
      </c>
      <c r="E53" s="59">
        <f>D53*(1+'Tenure Split (Mid and SW Wales)'!D$118)</f>
        <v>164911.26186013652</v>
      </c>
      <c r="F53" s="59">
        <f>E53*(1+'Tenure Split (Mid and SW Wales)'!E$118)</f>
        <v>168460.87453138831</v>
      </c>
      <c r="G53" s="59">
        <f>F53*(1+'Tenure Split (Mid and SW Wales)'!F$118)</f>
        <v>175030.70856644353</v>
      </c>
      <c r="H53" s="59">
        <f>G53*(1+'Tenure Split (Mid and SW Wales)'!G$118)</f>
        <v>182290.96903836043</v>
      </c>
      <c r="L53" s="64" t="str">
        <f t="shared" si="0"/>
        <v/>
      </c>
      <c r="M53" s="264"/>
      <c r="N53" s="14">
        <f t="shared" si="3"/>
        <v>1</v>
      </c>
      <c r="T53" s="1">
        <f t="shared" si="1"/>
        <v>59</v>
      </c>
      <c r="U53" s="4" t="str">
        <f t="shared" si="2"/>
        <v/>
      </c>
      <c r="V53" s="4" t="e">
        <f>IF($V$3=$M$3,M53,U53*(1+'Tenure Split (WALES)'!C$118))</f>
        <v>#VALUE!</v>
      </c>
      <c r="W53" s="4" t="e">
        <f>V53*(1+'Tenure Split (WALES)'!D$118)</f>
        <v>#VALUE!</v>
      </c>
      <c r="X53" s="4" t="e">
        <f>W53*(1+'Tenure Split (WALES)'!E$118)</f>
        <v>#VALUE!</v>
      </c>
      <c r="Y53" s="4" t="e">
        <f>X53*(1+'Tenure Split (WALES)'!F$118)</f>
        <v>#VALUE!</v>
      </c>
      <c r="Z53" s="4" t="e">
        <f>Y53*(1+'Tenure Split (WALES)'!G$118)</f>
        <v>#VALUE!</v>
      </c>
      <c r="AB53" s="1">
        <v>59</v>
      </c>
      <c r="AC53" s="4">
        <f>IF('Tenure Split (WALES)'!$D$18="Land Registry Data",'House Prices (Mid and SW Wales)'!D53,'House Prices (Mid and SW Wales)'!V53)</f>
        <v>164544.8936468951</v>
      </c>
      <c r="AD53" s="4">
        <f>IF('Tenure Split (WALES)'!$D$18="Land Registry Data",'House Prices (Mid and SW Wales)'!E53,'House Prices (Mid and SW Wales)'!W53)</f>
        <v>164911.26186013652</v>
      </c>
      <c r="AE53" s="4">
        <f>IF('Tenure Split (WALES)'!$D$18="Land Registry Data",'House Prices (Mid and SW Wales)'!F53,'House Prices (Mid and SW Wales)'!X53)</f>
        <v>168460.87453138831</v>
      </c>
      <c r="AF53" s="4">
        <f>IF('Tenure Split (WALES)'!$D$18="Land Registry Data",'House Prices (Mid and SW Wales)'!G53,'House Prices (Mid and SW Wales)'!Y53)</f>
        <v>175030.70856644353</v>
      </c>
      <c r="AG53" s="4">
        <f>IF('Tenure Split (WALES)'!$D$18="Land Registry Data",'House Prices (Mid and SW Wales)'!H53,'House Prices (Mid and SW Wales)'!Z53)</f>
        <v>182290.96903836043</v>
      </c>
    </row>
    <row r="54" spans="2:33" x14ac:dyDescent="0.25">
      <c r="B54" s="20">
        <v>60</v>
      </c>
      <c r="C54" s="58">
        <v>162566.39999999964</v>
      </c>
      <c r="D54" s="59">
        <f>C54*(1+'Tenure Split (Mid and SW Wales)'!C$118)</f>
        <v>167184.19374099094</v>
      </c>
      <c r="E54" s="59">
        <f>D54*(1+'Tenure Split (Mid and SW Wales)'!D$118)</f>
        <v>167556.43850037278</v>
      </c>
      <c r="F54" s="59">
        <f>E54*(1+'Tenure Split (Mid and SW Wales)'!E$118)</f>
        <v>171162.98695887145</v>
      </c>
      <c r="G54" s="59">
        <f>F54*(1+'Tenure Split (Mid and SW Wales)'!F$118)</f>
        <v>177838.20113184894</v>
      </c>
      <c r="H54" s="59">
        <f>G54*(1+'Tenure Split (Mid and SW Wales)'!G$118)</f>
        <v>185214.91618173537</v>
      </c>
      <c r="L54" s="64" t="str">
        <f t="shared" si="0"/>
        <v/>
      </c>
      <c r="M54" s="264"/>
      <c r="N54" s="14">
        <f t="shared" si="3"/>
        <v>1</v>
      </c>
      <c r="T54" s="1">
        <f t="shared" si="1"/>
        <v>60</v>
      </c>
      <c r="U54" s="4" t="str">
        <f t="shared" si="2"/>
        <v/>
      </c>
      <c r="V54" s="4" t="e">
        <f>IF($V$3=$M$3,M54,U54*(1+'Tenure Split (WALES)'!C$118))</f>
        <v>#VALUE!</v>
      </c>
      <c r="W54" s="4" t="e">
        <f>V54*(1+'Tenure Split (WALES)'!D$118)</f>
        <v>#VALUE!</v>
      </c>
      <c r="X54" s="4" t="e">
        <f>W54*(1+'Tenure Split (WALES)'!E$118)</f>
        <v>#VALUE!</v>
      </c>
      <c r="Y54" s="4" t="e">
        <f>X54*(1+'Tenure Split (WALES)'!F$118)</f>
        <v>#VALUE!</v>
      </c>
      <c r="Z54" s="4" t="e">
        <f>Y54*(1+'Tenure Split (WALES)'!G$118)</f>
        <v>#VALUE!</v>
      </c>
      <c r="AB54" s="1">
        <v>60</v>
      </c>
      <c r="AC54" s="4">
        <f>IF('Tenure Split (WALES)'!$D$18="Land Registry Data",'House Prices (Mid and SW Wales)'!D54,'House Prices (Mid and SW Wales)'!V54)</f>
        <v>167184.19374099094</v>
      </c>
      <c r="AD54" s="4">
        <f>IF('Tenure Split (WALES)'!$D$18="Land Registry Data",'House Prices (Mid and SW Wales)'!E54,'House Prices (Mid and SW Wales)'!W54)</f>
        <v>167556.43850037278</v>
      </c>
      <c r="AE54" s="4">
        <f>IF('Tenure Split (WALES)'!$D$18="Land Registry Data",'House Prices (Mid and SW Wales)'!F54,'House Prices (Mid and SW Wales)'!X54)</f>
        <v>171162.98695887145</v>
      </c>
      <c r="AF54" s="4">
        <f>IF('Tenure Split (WALES)'!$D$18="Land Registry Data",'House Prices (Mid and SW Wales)'!G54,'House Prices (Mid and SW Wales)'!Y54)</f>
        <v>177838.20113184894</v>
      </c>
      <c r="AG54" s="4">
        <f>IF('Tenure Split (WALES)'!$D$18="Land Registry Data",'House Prices (Mid and SW Wales)'!H54,'House Prices (Mid and SW Wales)'!Z54)</f>
        <v>185214.91618173537</v>
      </c>
    </row>
    <row r="55" spans="2:33" x14ac:dyDescent="0.25">
      <c r="B55" s="20">
        <v>61</v>
      </c>
      <c r="C55" s="58">
        <v>165000</v>
      </c>
      <c r="D55" s="59">
        <f>C55*(1+'Tenure Split (Mid and SW Wales)'!C$118)</f>
        <v>169686.9215733606</v>
      </c>
      <c r="E55" s="59">
        <f>D55*(1+'Tenure Split (Mid and SW Wales)'!D$118)</f>
        <v>170064.73879326583</v>
      </c>
      <c r="F55" s="59">
        <f>E55*(1+'Tenure Split (Mid and SW Wales)'!E$118)</f>
        <v>173725.27686049425</v>
      </c>
      <c r="G55" s="59">
        <f>F55*(1+'Tenure Split (Mid and SW Wales)'!F$118)</f>
        <v>180500.41820914493</v>
      </c>
      <c r="H55" s="59">
        <f>G55*(1+'Tenure Split (Mid and SW Wales)'!G$118)</f>
        <v>187987.56182080923</v>
      </c>
      <c r="L55" s="64" t="str">
        <f t="shared" si="0"/>
        <v/>
      </c>
      <c r="M55" s="264"/>
      <c r="N55" s="14">
        <f t="shared" si="3"/>
        <v>1</v>
      </c>
      <c r="T55" s="1">
        <f t="shared" si="1"/>
        <v>61</v>
      </c>
      <c r="U55" s="4" t="str">
        <f t="shared" si="2"/>
        <v/>
      </c>
      <c r="V55" s="4" t="e">
        <f>IF($V$3=$M$3,M55,U55*(1+'Tenure Split (WALES)'!C$118))</f>
        <v>#VALUE!</v>
      </c>
      <c r="W55" s="4" t="e">
        <f>V55*(1+'Tenure Split (WALES)'!D$118)</f>
        <v>#VALUE!</v>
      </c>
      <c r="X55" s="4" t="e">
        <f>W55*(1+'Tenure Split (WALES)'!E$118)</f>
        <v>#VALUE!</v>
      </c>
      <c r="Y55" s="4" t="e">
        <f>X55*(1+'Tenure Split (WALES)'!F$118)</f>
        <v>#VALUE!</v>
      </c>
      <c r="Z55" s="4" t="e">
        <f>Y55*(1+'Tenure Split (WALES)'!G$118)</f>
        <v>#VALUE!</v>
      </c>
      <c r="AB55" s="1">
        <v>61</v>
      </c>
      <c r="AC55" s="4">
        <f>IF('Tenure Split (WALES)'!$D$18="Land Registry Data",'House Prices (Mid and SW Wales)'!D55,'House Prices (Mid and SW Wales)'!V55)</f>
        <v>169686.9215733606</v>
      </c>
      <c r="AD55" s="4">
        <f>IF('Tenure Split (WALES)'!$D$18="Land Registry Data",'House Prices (Mid and SW Wales)'!E55,'House Prices (Mid and SW Wales)'!W55)</f>
        <v>170064.73879326583</v>
      </c>
      <c r="AE55" s="4">
        <f>IF('Tenure Split (WALES)'!$D$18="Land Registry Data",'House Prices (Mid and SW Wales)'!F55,'House Prices (Mid and SW Wales)'!X55)</f>
        <v>173725.27686049425</v>
      </c>
      <c r="AF55" s="4">
        <f>IF('Tenure Split (WALES)'!$D$18="Land Registry Data",'House Prices (Mid and SW Wales)'!G55,'House Prices (Mid and SW Wales)'!Y55)</f>
        <v>180500.41820914493</v>
      </c>
      <c r="AG55" s="4">
        <f>IF('Tenure Split (WALES)'!$D$18="Land Registry Data",'House Prices (Mid and SW Wales)'!H55,'House Prices (Mid and SW Wales)'!Z55)</f>
        <v>187987.56182080923</v>
      </c>
    </row>
    <row r="56" spans="2:33" x14ac:dyDescent="0.25">
      <c r="B56" s="20">
        <v>62</v>
      </c>
      <c r="C56" s="58">
        <v>167000</v>
      </c>
      <c r="D56" s="59">
        <f>C56*(1+'Tenure Split (Mid and SW Wales)'!C$118)</f>
        <v>171743.73274394678</v>
      </c>
      <c r="E56" s="59">
        <f>D56*(1+'Tenure Split (Mid and SW Wales)'!D$118)</f>
        <v>172126.12956651751</v>
      </c>
      <c r="F56" s="59">
        <f>E56*(1+'Tenure Split (Mid and SW Wales)'!E$118)</f>
        <v>175831.03779213657</v>
      </c>
      <c r="G56" s="59">
        <f>F56*(1+'Tenure Split (Mid and SW Wales)'!F$118)</f>
        <v>182688.30206622544</v>
      </c>
      <c r="H56" s="59">
        <f>G56*(1+'Tenure Split (Mid and SW Wales)'!G$118)</f>
        <v>190266.19893378869</v>
      </c>
      <c r="L56" s="64" t="str">
        <f t="shared" si="0"/>
        <v/>
      </c>
      <c r="M56" s="264"/>
      <c r="N56" s="14">
        <f t="shared" si="3"/>
        <v>1</v>
      </c>
      <c r="T56" s="1">
        <f t="shared" si="1"/>
        <v>62</v>
      </c>
      <c r="U56" s="4" t="str">
        <f t="shared" si="2"/>
        <v/>
      </c>
      <c r="V56" s="4" t="e">
        <f>IF($V$3=$M$3,M56,U56*(1+'Tenure Split (WALES)'!C$118))</f>
        <v>#VALUE!</v>
      </c>
      <c r="W56" s="4" t="e">
        <f>V56*(1+'Tenure Split (WALES)'!D$118)</f>
        <v>#VALUE!</v>
      </c>
      <c r="X56" s="4" t="e">
        <f>W56*(1+'Tenure Split (WALES)'!E$118)</f>
        <v>#VALUE!</v>
      </c>
      <c r="Y56" s="4" t="e">
        <f>X56*(1+'Tenure Split (WALES)'!F$118)</f>
        <v>#VALUE!</v>
      </c>
      <c r="Z56" s="4" t="e">
        <f>Y56*(1+'Tenure Split (WALES)'!G$118)</f>
        <v>#VALUE!</v>
      </c>
      <c r="AB56" s="1">
        <v>62</v>
      </c>
      <c r="AC56" s="4">
        <f>IF('Tenure Split (WALES)'!$D$18="Land Registry Data",'House Prices (Mid and SW Wales)'!D56,'House Prices (Mid and SW Wales)'!V56)</f>
        <v>171743.73274394678</v>
      </c>
      <c r="AD56" s="4">
        <f>IF('Tenure Split (WALES)'!$D$18="Land Registry Data",'House Prices (Mid and SW Wales)'!E56,'House Prices (Mid and SW Wales)'!W56)</f>
        <v>172126.12956651751</v>
      </c>
      <c r="AE56" s="4">
        <f>IF('Tenure Split (WALES)'!$D$18="Land Registry Data",'House Prices (Mid and SW Wales)'!F56,'House Prices (Mid and SW Wales)'!X56)</f>
        <v>175831.03779213657</v>
      </c>
      <c r="AF56" s="4">
        <f>IF('Tenure Split (WALES)'!$D$18="Land Registry Data",'House Prices (Mid and SW Wales)'!G56,'House Prices (Mid and SW Wales)'!Y56)</f>
        <v>182688.30206622544</v>
      </c>
      <c r="AG56" s="4">
        <f>IF('Tenure Split (WALES)'!$D$18="Land Registry Data",'House Prices (Mid and SW Wales)'!H56,'House Prices (Mid and SW Wales)'!Z56)</f>
        <v>190266.19893378869</v>
      </c>
    </row>
    <row r="57" spans="2:33" x14ac:dyDescent="0.25">
      <c r="B57" s="20">
        <v>63</v>
      </c>
      <c r="C57" s="58">
        <v>170000</v>
      </c>
      <c r="D57" s="59">
        <f>C57*(1+'Tenure Split (Mid and SW Wales)'!C$118)</f>
        <v>174828.94949982606</v>
      </c>
      <c r="E57" s="59">
        <f>D57*(1+'Tenure Split (Mid and SW Wales)'!D$118)</f>
        <v>175218.21572639508</v>
      </c>
      <c r="F57" s="59">
        <f>E57*(1+'Tenure Split (Mid and SW Wales)'!E$118)</f>
        <v>178989.67918960011</v>
      </c>
      <c r="G57" s="59">
        <f>F57*(1+'Tenure Split (Mid and SW Wales)'!F$118)</f>
        <v>185970.12785184628</v>
      </c>
      <c r="H57" s="59">
        <f>G57*(1+'Tenure Split (Mid and SW Wales)'!G$118)</f>
        <v>193684.15460325798</v>
      </c>
      <c r="L57" s="64" t="str">
        <f t="shared" si="0"/>
        <v/>
      </c>
      <c r="M57" s="264"/>
      <c r="N57" s="14">
        <f t="shared" si="3"/>
        <v>1</v>
      </c>
      <c r="T57" s="1">
        <f t="shared" si="1"/>
        <v>63</v>
      </c>
      <c r="U57" s="4" t="str">
        <f t="shared" si="2"/>
        <v/>
      </c>
      <c r="V57" s="4" t="e">
        <f>IF($V$3=$M$3,M57,U57*(1+'Tenure Split (WALES)'!C$118))</f>
        <v>#VALUE!</v>
      </c>
      <c r="W57" s="4" t="e">
        <f>V57*(1+'Tenure Split (WALES)'!D$118)</f>
        <v>#VALUE!</v>
      </c>
      <c r="X57" s="4" t="e">
        <f>W57*(1+'Tenure Split (WALES)'!E$118)</f>
        <v>#VALUE!</v>
      </c>
      <c r="Y57" s="4" t="e">
        <f>X57*(1+'Tenure Split (WALES)'!F$118)</f>
        <v>#VALUE!</v>
      </c>
      <c r="Z57" s="4" t="e">
        <f>Y57*(1+'Tenure Split (WALES)'!G$118)</f>
        <v>#VALUE!</v>
      </c>
      <c r="AB57" s="1">
        <v>63</v>
      </c>
      <c r="AC57" s="4">
        <f>IF('Tenure Split (WALES)'!$D$18="Land Registry Data",'House Prices (Mid and SW Wales)'!D57,'House Prices (Mid and SW Wales)'!V57)</f>
        <v>174828.94949982606</v>
      </c>
      <c r="AD57" s="4">
        <f>IF('Tenure Split (WALES)'!$D$18="Land Registry Data",'House Prices (Mid and SW Wales)'!E57,'House Prices (Mid and SW Wales)'!W57)</f>
        <v>175218.21572639508</v>
      </c>
      <c r="AE57" s="4">
        <f>IF('Tenure Split (WALES)'!$D$18="Land Registry Data",'House Prices (Mid and SW Wales)'!F57,'House Prices (Mid and SW Wales)'!X57)</f>
        <v>178989.67918960011</v>
      </c>
      <c r="AF57" s="4">
        <f>IF('Tenure Split (WALES)'!$D$18="Land Registry Data",'House Prices (Mid and SW Wales)'!G57,'House Prices (Mid and SW Wales)'!Y57)</f>
        <v>185970.12785184628</v>
      </c>
      <c r="AG57" s="4">
        <f>IF('Tenure Split (WALES)'!$D$18="Land Registry Data",'House Prices (Mid and SW Wales)'!H57,'House Prices (Mid and SW Wales)'!Z57)</f>
        <v>193684.15460325798</v>
      </c>
    </row>
    <row r="58" spans="2:33" x14ac:dyDescent="0.25">
      <c r="B58" s="20">
        <v>64</v>
      </c>
      <c r="C58" s="58">
        <v>172000</v>
      </c>
      <c r="D58" s="59">
        <f>C58*(1+'Tenure Split (Mid and SW Wales)'!C$118)</f>
        <v>176885.76067041224</v>
      </c>
      <c r="E58" s="59">
        <f>D58*(1+'Tenure Split (Mid and SW Wales)'!D$118)</f>
        <v>177279.60649964679</v>
      </c>
      <c r="F58" s="59">
        <f>E58*(1+'Tenure Split (Mid and SW Wales)'!E$118)</f>
        <v>181095.44012124249</v>
      </c>
      <c r="G58" s="59">
        <f>F58*(1+'Tenure Split (Mid and SW Wales)'!F$118)</f>
        <v>188158.01170892685</v>
      </c>
      <c r="H58" s="59">
        <f>G58*(1+'Tenure Split (Mid and SW Wales)'!G$118)</f>
        <v>195962.79171623749</v>
      </c>
      <c r="L58" s="64" t="str">
        <f t="shared" si="0"/>
        <v/>
      </c>
      <c r="M58" s="264"/>
      <c r="N58" s="14">
        <f t="shared" si="3"/>
        <v>1</v>
      </c>
      <c r="T58" s="1">
        <f t="shared" si="1"/>
        <v>64</v>
      </c>
      <c r="U58" s="4" t="str">
        <f t="shared" si="2"/>
        <v/>
      </c>
      <c r="V58" s="4" t="e">
        <f>IF($V$3=$M$3,M58,U58*(1+'Tenure Split (WALES)'!C$118))</f>
        <v>#VALUE!</v>
      </c>
      <c r="W58" s="4" t="e">
        <f>V58*(1+'Tenure Split (WALES)'!D$118)</f>
        <v>#VALUE!</v>
      </c>
      <c r="X58" s="4" t="e">
        <f>W58*(1+'Tenure Split (WALES)'!E$118)</f>
        <v>#VALUE!</v>
      </c>
      <c r="Y58" s="4" t="e">
        <f>X58*(1+'Tenure Split (WALES)'!F$118)</f>
        <v>#VALUE!</v>
      </c>
      <c r="Z58" s="4" t="e">
        <f>Y58*(1+'Tenure Split (WALES)'!G$118)</f>
        <v>#VALUE!</v>
      </c>
      <c r="AB58" s="1">
        <v>64</v>
      </c>
      <c r="AC58" s="4">
        <f>IF('Tenure Split (WALES)'!$D$18="Land Registry Data",'House Prices (Mid and SW Wales)'!D58,'House Prices (Mid and SW Wales)'!V58)</f>
        <v>176885.76067041224</v>
      </c>
      <c r="AD58" s="4">
        <f>IF('Tenure Split (WALES)'!$D$18="Land Registry Data",'House Prices (Mid and SW Wales)'!E58,'House Prices (Mid and SW Wales)'!W58)</f>
        <v>177279.60649964679</v>
      </c>
      <c r="AE58" s="4">
        <f>IF('Tenure Split (WALES)'!$D$18="Land Registry Data",'House Prices (Mid and SW Wales)'!F58,'House Prices (Mid and SW Wales)'!X58)</f>
        <v>181095.44012124249</v>
      </c>
      <c r="AF58" s="4">
        <f>IF('Tenure Split (WALES)'!$D$18="Land Registry Data",'House Prices (Mid and SW Wales)'!G58,'House Prices (Mid and SW Wales)'!Y58)</f>
        <v>188158.01170892685</v>
      </c>
      <c r="AG58" s="4">
        <f>IF('Tenure Split (WALES)'!$D$18="Land Registry Data",'House Prices (Mid and SW Wales)'!H58,'House Prices (Mid and SW Wales)'!Z58)</f>
        <v>195962.79171623749</v>
      </c>
    </row>
    <row r="59" spans="2:33" x14ac:dyDescent="0.25">
      <c r="B59" s="20">
        <v>65</v>
      </c>
      <c r="C59" s="58">
        <v>175000</v>
      </c>
      <c r="D59" s="59">
        <f>C59*(1+'Tenure Split (Mid and SW Wales)'!C$118)</f>
        <v>179970.97742629153</v>
      </c>
      <c r="E59" s="59">
        <f>D59*(1+'Tenure Split (Mid and SW Wales)'!D$118)</f>
        <v>180371.69265952436</v>
      </c>
      <c r="F59" s="59">
        <f>E59*(1+'Tenure Split (Mid and SW Wales)'!E$118)</f>
        <v>184254.08151870602</v>
      </c>
      <c r="G59" s="59">
        <f>F59*(1+'Tenure Split (Mid and SW Wales)'!F$118)</f>
        <v>191439.83749454765</v>
      </c>
      <c r="H59" s="59">
        <f>G59*(1+'Tenure Split (Mid and SW Wales)'!G$118)</f>
        <v>199380.74738570675</v>
      </c>
      <c r="L59" s="64" t="str">
        <f t="shared" si="0"/>
        <v/>
      </c>
      <c r="M59" s="264"/>
      <c r="N59" s="14">
        <f t="shared" si="3"/>
        <v>1</v>
      </c>
      <c r="T59" s="1">
        <f t="shared" si="1"/>
        <v>65</v>
      </c>
      <c r="U59" s="4" t="str">
        <f t="shared" si="2"/>
        <v/>
      </c>
      <c r="V59" s="4" t="e">
        <f>IF($V$3=$M$3,M59,U59*(1+'Tenure Split (WALES)'!C$118))</f>
        <v>#VALUE!</v>
      </c>
      <c r="W59" s="4" t="e">
        <f>V59*(1+'Tenure Split (WALES)'!D$118)</f>
        <v>#VALUE!</v>
      </c>
      <c r="X59" s="4" t="e">
        <f>W59*(1+'Tenure Split (WALES)'!E$118)</f>
        <v>#VALUE!</v>
      </c>
      <c r="Y59" s="4" t="e">
        <f>X59*(1+'Tenure Split (WALES)'!F$118)</f>
        <v>#VALUE!</v>
      </c>
      <c r="Z59" s="4" t="e">
        <f>Y59*(1+'Tenure Split (WALES)'!G$118)</f>
        <v>#VALUE!</v>
      </c>
      <c r="AB59" s="1">
        <v>65</v>
      </c>
      <c r="AC59" s="4">
        <f>IF('Tenure Split (WALES)'!$D$18="Land Registry Data",'House Prices (Mid and SW Wales)'!D59,'House Prices (Mid and SW Wales)'!V59)</f>
        <v>179970.97742629153</v>
      </c>
      <c r="AD59" s="4">
        <f>IF('Tenure Split (WALES)'!$D$18="Land Registry Data",'House Prices (Mid and SW Wales)'!E59,'House Prices (Mid and SW Wales)'!W59)</f>
        <v>180371.69265952436</v>
      </c>
      <c r="AE59" s="4">
        <f>IF('Tenure Split (WALES)'!$D$18="Land Registry Data",'House Prices (Mid and SW Wales)'!F59,'House Prices (Mid and SW Wales)'!X59)</f>
        <v>184254.08151870602</v>
      </c>
      <c r="AF59" s="4">
        <f>IF('Tenure Split (WALES)'!$D$18="Land Registry Data",'House Prices (Mid and SW Wales)'!G59,'House Prices (Mid and SW Wales)'!Y59)</f>
        <v>191439.83749454765</v>
      </c>
      <c r="AG59" s="4">
        <f>IF('Tenure Split (WALES)'!$D$18="Land Registry Data",'House Prices (Mid and SW Wales)'!H59,'House Prices (Mid and SW Wales)'!Z59)</f>
        <v>199380.74738570675</v>
      </c>
    </row>
    <row r="60" spans="2:33" x14ac:dyDescent="0.25">
      <c r="B60" s="20">
        <v>66</v>
      </c>
      <c r="C60" s="58">
        <v>176000</v>
      </c>
      <c r="D60" s="59">
        <f>C60*(1+'Tenure Split (Mid and SW Wales)'!C$118)</f>
        <v>180999.38301158464</v>
      </c>
      <c r="E60" s="59">
        <f>D60*(1+'Tenure Split (Mid and SW Wales)'!D$118)</f>
        <v>181402.38804615021</v>
      </c>
      <c r="F60" s="59">
        <f>E60*(1+'Tenure Split (Mid and SW Wales)'!E$118)</f>
        <v>185306.96198452718</v>
      </c>
      <c r="G60" s="59">
        <f>F60*(1+'Tenure Split (Mid and SW Wales)'!F$118)</f>
        <v>192533.77942308792</v>
      </c>
      <c r="H60" s="59">
        <f>G60*(1+'Tenure Split (Mid and SW Wales)'!G$118)</f>
        <v>200520.0659421965</v>
      </c>
      <c r="L60" s="64" t="str">
        <f t="shared" si="0"/>
        <v/>
      </c>
      <c r="M60" s="264"/>
      <c r="N60" s="14">
        <f t="shared" si="3"/>
        <v>1</v>
      </c>
      <c r="T60" s="1">
        <f t="shared" si="1"/>
        <v>66</v>
      </c>
      <c r="U60" s="4" t="str">
        <f t="shared" si="2"/>
        <v/>
      </c>
      <c r="V60" s="4" t="e">
        <f>IF($V$3=$M$3,M60,U60*(1+'Tenure Split (WALES)'!C$118))</f>
        <v>#VALUE!</v>
      </c>
      <c r="W60" s="4" t="e">
        <f>V60*(1+'Tenure Split (WALES)'!D$118)</f>
        <v>#VALUE!</v>
      </c>
      <c r="X60" s="4" t="e">
        <f>W60*(1+'Tenure Split (WALES)'!E$118)</f>
        <v>#VALUE!</v>
      </c>
      <c r="Y60" s="4" t="e">
        <f>X60*(1+'Tenure Split (WALES)'!F$118)</f>
        <v>#VALUE!</v>
      </c>
      <c r="Z60" s="4" t="e">
        <f>Y60*(1+'Tenure Split (WALES)'!G$118)</f>
        <v>#VALUE!</v>
      </c>
      <c r="AB60" s="1">
        <v>66</v>
      </c>
      <c r="AC60" s="4">
        <f>IF('Tenure Split (WALES)'!$D$18="Land Registry Data",'House Prices (Mid and SW Wales)'!D60,'House Prices (Mid and SW Wales)'!V60)</f>
        <v>180999.38301158464</v>
      </c>
      <c r="AD60" s="4">
        <f>IF('Tenure Split (WALES)'!$D$18="Land Registry Data",'House Prices (Mid and SW Wales)'!E60,'House Prices (Mid and SW Wales)'!W60)</f>
        <v>181402.38804615021</v>
      </c>
      <c r="AE60" s="4">
        <f>IF('Tenure Split (WALES)'!$D$18="Land Registry Data",'House Prices (Mid and SW Wales)'!F60,'House Prices (Mid and SW Wales)'!X60)</f>
        <v>185306.96198452718</v>
      </c>
      <c r="AF60" s="4">
        <f>IF('Tenure Split (WALES)'!$D$18="Land Registry Data",'House Prices (Mid and SW Wales)'!G60,'House Prices (Mid and SW Wales)'!Y60)</f>
        <v>192533.77942308792</v>
      </c>
      <c r="AG60" s="4">
        <f>IF('Tenure Split (WALES)'!$D$18="Land Registry Data",'House Prices (Mid and SW Wales)'!H60,'House Prices (Mid and SW Wales)'!Z60)</f>
        <v>200520.0659421965</v>
      </c>
    </row>
    <row r="61" spans="2:33" x14ac:dyDescent="0.25">
      <c r="B61" s="20">
        <v>67</v>
      </c>
      <c r="C61" s="58">
        <v>180000</v>
      </c>
      <c r="D61" s="59">
        <f>C61*(1+'Tenure Split (Mid and SW Wales)'!C$118)</f>
        <v>185113.005352757</v>
      </c>
      <c r="E61" s="59">
        <f>D61*(1+'Tenure Split (Mid and SW Wales)'!D$118)</f>
        <v>185525.1695926536</v>
      </c>
      <c r="F61" s="59">
        <f>E61*(1+'Tenure Split (Mid and SW Wales)'!E$118)</f>
        <v>189518.48384781188</v>
      </c>
      <c r="G61" s="59">
        <f>F61*(1+'Tenure Split (Mid and SW Wales)'!F$118)</f>
        <v>196909.54713724897</v>
      </c>
      <c r="H61" s="59">
        <f>G61*(1+'Tenure Split (Mid and SW Wales)'!G$118)</f>
        <v>205077.34016815547</v>
      </c>
      <c r="L61" s="64" t="str">
        <f t="shared" si="0"/>
        <v/>
      </c>
      <c r="M61" s="264"/>
      <c r="N61" s="14">
        <f t="shared" si="3"/>
        <v>1</v>
      </c>
      <c r="T61" s="1">
        <f t="shared" si="1"/>
        <v>67</v>
      </c>
      <c r="U61" s="4" t="str">
        <f t="shared" si="2"/>
        <v/>
      </c>
      <c r="V61" s="4" t="e">
        <f>IF($V$3=$M$3,M61,U61*(1+'Tenure Split (WALES)'!C$118))</f>
        <v>#VALUE!</v>
      </c>
      <c r="W61" s="4" t="e">
        <f>V61*(1+'Tenure Split (WALES)'!D$118)</f>
        <v>#VALUE!</v>
      </c>
      <c r="X61" s="4" t="e">
        <f>W61*(1+'Tenure Split (WALES)'!E$118)</f>
        <v>#VALUE!</v>
      </c>
      <c r="Y61" s="4" t="e">
        <f>X61*(1+'Tenure Split (WALES)'!F$118)</f>
        <v>#VALUE!</v>
      </c>
      <c r="Z61" s="4" t="e">
        <f>Y61*(1+'Tenure Split (WALES)'!G$118)</f>
        <v>#VALUE!</v>
      </c>
      <c r="AB61" s="1">
        <v>67</v>
      </c>
      <c r="AC61" s="4">
        <f>IF('Tenure Split (WALES)'!$D$18="Land Registry Data",'House Prices (Mid and SW Wales)'!D61,'House Prices (Mid and SW Wales)'!V61)</f>
        <v>185113.005352757</v>
      </c>
      <c r="AD61" s="4">
        <f>IF('Tenure Split (WALES)'!$D$18="Land Registry Data",'House Prices (Mid and SW Wales)'!E61,'House Prices (Mid and SW Wales)'!W61)</f>
        <v>185525.1695926536</v>
      </c>
      <c r="AE61" s="4">
        <f>IF('Tenure Split (WALES)'!$D$18="Land Registry Data",'House Prices (Mid and SW Wales)'!F61,'House Prices (Mid and SW Wales)'!X61)</f>
        <v>189518.48384781188</v>
      </c>
      <c r="AF61" s="4">
        <f>IF('Tenure Split (WALES)'!$D$18="Land Registry Data",'House Prices (Mid and SW Wales)'!G61,'House Prices (Mid and SW Wales)'!Y61)</f>
        <v>196909.54713724897</v>
      </c>
      <c r="AG61" s="4">
        <f>IF('Tenure Split (WALES)'!$D$18="Land Registry Data",'House Prices (Mid and SW Wales)'!H61,'House Prices (Mid and SW Wales)'!Z61)</f>
        <v>205077.34016815547</v>
      </c>
    </row>
    <row r="62" spans="2:33" x14ac:dyDescent="0.25">
      <c r="B62" s="20">
        <v>68</v>
      </c>
      <c r="C62" s="58">
        <v>181000</v>
      </c>
      <c r="D62" s="59">
        <f>C62*(1+'Tenure Split (Mid and SW Wales)'!C$118)</f>
        <v>186141.4109380501</v>
      </c>
      <c r="E62" s="59">
        <f>D62*(1+'Tenure Split (Mid and SW Wales)'!D$118)</f>
        <v>186555.86497927946</v>
      </c>
      <c r="F62" s="59">
        <f>E62*(1+'Tenure Split (Mid and SW Wales)'!E$118)</f>
        <v>190571.36431363306</v>
      </c>
      <c r="G62" s="59">
        <f>F62*(1+'Tenure Split (Mid and SW Wales)'!F$118)</f>
        <v>198003.48906578927</v>
      </c>
      <c r="H62" s="59">
        <f>G62*(1+'Tenure Split (Mid and SW Wales)'!G$118)</f>
        <v>206216.65872464524</v>
      </c>
      <c r="L62" s="64" t="str">
        <f t="shared" si="0"/>
        <v/>
      </c>
      <c r="M62" s="264"/>
      <c r="N62" s="14">
        <f t="shared" si="3"/>
        <v>1</v>
      </c>
      <c r="T62" s="1">
        <f t="shared" si="1"/>
        <v>68</v>
      </c>
      <c r="U62" s="4" t="str">
        <f t="shared" si="2"/>
        <v/>
      </c>
      <c r="V62" s="4" t="e">
        <f>IF($V$3=$M$3,M62,U62*(1+'Tenure Split (WALES)'!C$118))</f>
        <v>#VALUE!</v>
      </c>
      <c r="W62" s="4" t="e">
        <f>V62*(1+'Tenure Split (WALES)'!D$118)</f>
        <v>#VALUE!</v>
      </c>
      <c r="X62" s="4" t="e">
        <f>W62*(1+'Tenure Split (WALES)'!E$118)</f>
        <v>#VALUE!</v>
      </c>
      <c r="Y62" s="4" t="e">
        <f>X62*(1+'Tenure Split (WALES)'!F$118)</f>
        <v>#VALUE!</v>
      </c>
      <c r="Z62" s="4" t="e">
        <f>Y62*(1+'Tenure Split (WALES)'!G$118)</f>
        <v>#VALUE!</v>
      </c>
      <c r="AB62" s="1">
        <v>68</v>
      </c>
      <c r="AC62" s="4">
        <f>IF('Tenure Split (WALES)'!$D$18="Land Registry Data",'House Prices (Mid and SW Wales)'!D62,'House Prices (Mid and SW Wales)'!V62)</f>
        <v>186141.4109380501</v>
      </c>
      <c r="AD62" s="4">
        <f>IF('Tenure Split (WALES)'!$D$18="Land Registry Data",'House Prices (Mid and SW Wales)'!E62,'House Prices (Mid and SW Wales)'!W62)</f>
        <v>186555.86497927946</v>
      </c>
      <c r="AE62" s="4">
        <f>IF('Tenure Split (WALES)'!$D$18="Land Registry Data",'House Prices (Mid and SW Wales)'!F62,'House Prices (Mid and SW Wales)'!X62)</f>
        <v>190571.36431363306</v>
      </c>
      <c r="AF62" s="4">
        <f>IF('Tenure Split (WALES)'!$D$18="Land Registry Data",'House Prices (Mid and SW Wales)'!G62,'House Prices (Mid and SW Wales)'!Y62)</f>
        <v>198003.48906578927</v>
      </c>
      <c r="AG62" s="4">
        <f>IF('Tenure Split (WALES)'!$D$18="Land Registry Data",'House Prices (Mid and SW Wales)'!H62,'House Prices (Mid and SW Wales)'!Z62)</f>
        <v>206216.65872464524</v>
      </c>
    </row>
    <row r="63" spans="2:33" x14ac:dyDescent="0.25">
      <c r="B63" s="20">
        <v>69</v>
      </c>
      <c r="C63" s="58">
        <v>185000</v>
      </c>
      <c r="D63" s="59">
        <f>C63*(1+'Tenure Split (Mid and SW Wales)'!C$118)</f>
        <v>190255.03327922247</v>
      </c>
      <c r="E63" s="59">
        <f>D63*(1+'Tenure Split (Mid and SW Wales)'!D$118)</f>
        <v>190678.64652578288</v>
      </c>
      <c r="F63" s="59">
        <f>E63*(1+'Tenure Split (Mid and SW Wales)'!E$118)</f>
        <v>194782.88617691779</v>
      </c>
      <c r="G63" s="59">
        <f>F63*(1+'Tenure Split (Mid and SW Wales)'!F$118)</f>
        <v>202379.25677995037</v>
      </c>
      <c r="H63" s="59">
        <f>G63*(1+'Tenure Split (Mid and SW Wales)'!G$118)</f>
        <v>210773.93295060427</v>
      </c>
      <c r="L63" s="64" t="str">
        <f t="shared" si="0"/>
        <v/>
      </c>
      <c r="M63" s="264"/>
      <c r="N63" s="14">
        <f t="shared" si="3"/>
        <v>1</v>
      </c>
      <c r="T63" s="1">
        <f t="shared" si="1"/>
        <v>69</v>
      </c>
      <c r="U63" s="4" t="str">
        <f t="shared" si="2"/>
        <v/>
      </c>
      <c r="V63" s="4" t="e">
        <f>IF($V$3=$M$3,M63,U63*(1+'Tenure Split (WALES)'!C$118))</f>
        <v>#VALUE!</v>
      </c>
      <c r="W63" s="4" t="e">
        <f>V63*(1+'Tenure Split (WALES)'!D$118)</f>
        <v>#VALUE!</v>
      </c>
      <c r="X63" s="4" t="e">
        <f>W63*(1+'Tenure Split (WALES)'!E$118)</f>
        <v>#VALUE!</v>
      </c>
      <c r="Y63" s="4" t="e">
        <f>X63*(1+'Tenure Split (WALES)'!F$118)</f>
        <v>#VALUE!</v>
      </c>
      <c r="Z63" s="4" t="e">
        <f>Y63*(1+'Tenure Split (WALES)'!G$118)</f>
        <v>#VALUE!</v>
      </c>
      <c r="AB63" s="1">
        <v>69</v>
      </c>
      <c r="AC63" s="4">
        <f>IF('Tenure Split (WALES)'!$D$18="Land Registry Data",'House Prices (Mid and SW Wales)'!D63,'House Prices (Mid and SW Wales)'!V63)</f>
        <v>190255.03327922247</v>
      </c>
      <c r="AD63" s="4">
        <f>IF('Tenure Split (WALES)'!$D$18="Land Registry Data",'House Prices (Mid and SW Wales)'!E63,'House Prices (Mid and SW Wales)'!W63)</f>
        <v>190678.64652578288</v>
      </c>
      <c r="AE63" s="4">
        <f>IF('Tenure Split (WALES)'!$D$18="Land Registry Data",'House Prices (Mid and SW Wales)'!F63,'House Prices (Mid and SW Wales)'!X63)</f>
        <v>194782.88617691779</v>
      </c>
      <c r="AF63" s="4">
        <f>IF('Tenure Split (WALES)'!$D$18="Land Registry Data",'House Prices (Mid and SW Wales)'!G63,'House Prices (Mid and SW Wales)'!Y63)</f>
        <v>202379.25677995037</v>
      </c>
      <c r="AG63" s="4">
        <f>IF('Tenure Split (WALES)'!$D$18="Land Registry Data",'House Prices (Mid and SW Wales)'!H63,'House Prices (Mid and SW Wales)'!Z63)</f>
        <v>210773.93295060427</v>
      </c>
    </row>
    <row r="64" spans="2:33" x14ac:dyDescent="0.25">
      <c r="B64" s="20">
        <v>70</v>
      </c>
      <c r="C64" s="58">
        <v>188000</v>
      </c>
      <c r="D64" s="59">
        <f>C64*(1+'Tenure Split (Mid and SW Wales)'!C$118)</f>
        <v>193340.25003510175</v>
      </c>
      <c r="E64" s="59">
        <f>D64*(1+'Tenure Split (Mid and SW Wales)'!D$118)</f>
        <v>193770.73268566042</v>
      </c>
      <c r="F64" s="59">
        <f>E64*(1+'Tenure Split (Mid and SW Wales)'!E$118)</f>
        <v>197941.5275743813</v>
      </c>
      <c r="G64" s="59">
        <f>F64*(1+'Tenure Split (Mid and SW Wales)'!F$118)</f>
        <v>205661.08256557115</v>
      </c>
      <c r="H64" s="59">
        <f>G64*(1+'Tenure Split (Mid and SW Wales)'!G$118)</f>
        <v>214191.8886200735</v>
      </c>
      <c r="L64" s="64" t="str">
        <f t="shared" si="0"/>
        <v/>
      </c>
      <c r="M64" s="264"/>
      <c r="N64" s="14">
        <f t="shared" si="3"/>
        <v>1</v>
      </c>
      <c r="T64" s="1">
        <f t="shared" si="1"/>
        <v>70</v>
      </c>
      <c r="U64" s="4" t="str">
        <f t="shared" si="2"/>
        <v/>
      </c>
      <c r="V64" s="4" t="e">
        <f>IF($V$3=$M$3,M64,U64*(1+'Tenure Split (WALES)'!C$118))</f>
        <v>#VALUE!</v>
      </c>
      <c r="W64" s="4" t="e">
        <f>V64*(1+'Tenure Split (WALES)'!D$118)</f>
        <v>#VALUE!</v>
      </c>
      <c r="X64" s="4" t="e">
        <f>W64*(1+'Tenure Split (WALES)'!E$118)</f>
        <v>#VALUE!</v>
      </c>
      <c r="Y64" s="4" t="e">
        <f>X64*(1+'Tenure Split (WALES)'!F$118)</f>
        <v>#VALUE!</v>
      </c>
      <c r="Z64" s="4" t="e">
        <f>Y64*(1+'Tenure Split (WALES)'!G$118)</f>
        <v>#VALUE!</v>
      </c>
      <c r="AB64" s="1">
        <v>70</v>
      </c>
      <c r="AC64" s="4">
        <f>IF('Tenure Split (WALES)'!$D$18="Land Registry Data",'House Prices (Mid and SW Wales)'!D64,'House Prices (Mid and SW Wales)'!V64)</f>
        <v>193340.25003510175</v>
      </c>
      <c r="AD64" s="4">
        <f>IF('Tenure Split (WALES)'!$D$18="Land Registry Data",'House Prices (Mid and SW Wales)'!E64,'House Prices (Mid and SW Wales)'!W64)</f>
        <v>193770.73268566042</v>
      </c>
      <c r="AE64" s="4">
        <f>IF('Tenure Split (WALES)'!$D$18="Land Registry Data",'House Prices (Mid and SW Wales)'!F64,'House Prices (Mid and SW Wales)'!X64)</f>
        <v>197941.5275743813</v>
      </c>
      <c r="AF64" s="4">
        <f>IF('Tenure Split (WALES)'!$D$18="Land Registry Data",'House Prices (Mid and SW Wales)'!G64,'House Prices (Mid and SW Wales)'!Y64)</f>
        <v>205661.08256557115</v>
      </c>
      <c r="AG64" s="4">
        <f>IF('Tenure Split (WALES)'!$D$18="Land Registry Data",'House Prices (Mid and SW Wales)'!H64,'House Prices (Mid and SW Wales)'!Z64)</f>
        <v>214191.8886200735</v>
      </c>
    </row>
    <row r="65" spans="2:33" x14ac:dyDescent="0.25">
      <c r="B65" s="20">
        <v>71</v>
      </c>
      <c r="C65" s="58">
        <v>190000</v>
      </c>
      <c r="D65" s="59">
        <f>C65*(1+'Tenure Split (Mid and SW Wales)'!C$118)</f>
        <v>195397.06120568793</v>
      </c>
      <c r="E65" s="59">
        <f>D65*(1+'Tenure Split (Mid and SW Wales)'!D$118)</f>
        <v>195832.12345891213</v>
      </c>
      <c r="F65" s="59">
        <f>E65*(1+'Tenure Split (Mid and SW Wales)'!E$118)</f>
        <v>200047.28850602364</v>
      </c>
      <c r="G65" s="59">
        <f>F65*(1+'Tenure Split (Mid and SW Wales)'!F$118)</f>
        <v>207848.96642265169</v>
      </c>
      <c r="H65" s="59">
        <f>G65*(1+'Tenure Split (Mid and SW Wales)'!G$118)</f>
        <v>216470.52573305299</v>
      </c>
      <c r="L65" s="64" t="str">
        <f t="shared" si="0"/>
        <v/>
      </c>
      <c r="M65" s="264"/>
      <c r="N65" s="14">
        <f t="shared" si="3"/>
        <v>1</v>
      </c>
      <c r="T65" s="1">
        <f t="shared" si="1"/>
        <v>71</v>
      </c>
      <c r="U65" s="4" t="str">
        <f t="shared" si="2"/>
        <v/>
      </c>
      <c r="V65" s="4" t="e">
        <f>IF($V$3=$M$3,M65,U65*(1+'Tenure Split (WALES)'!C$118))</f>
        <v>#VALUE!</v>
      </c>
      <c r="W65" s="4" t="e">
        <f>V65*(1+'Tenure Split (WALES)'!D$118)</f>
        <v>#VALUE!</v>
      </c>
      <c r="X65" s="4" t="e">
        <f>W65*(1+'Tenure Split (WALES)'!E$118)</f>
        <v>#VALUE!</v>
      </c>
      <c r="Y65" s="4" t="e">
        <f>X65*(1+'Tenure Split (WALES)'!F$118)</f>
        <v>#VALUE!</v>
      </c>
      <c r="Z65" s="4" t="e">
        <f>Y65*(1+'Tenure Split (WALES)'!G$118)</f>
        <v>#VALUE!</v>
      </c>
      <c r="AB65" s="1">
        <v>71</v>
      </c>
      <c r="AC65" s="4">
        <f>IF('Tenure Split (WALES)'!$D$18="Land Registry Data",'House Prices (Mid and SW Wales)'!D65,'House Prices (Mid and SW Wales)'!V65)</f>
        <v>195397.06120568793</v>
      </c>
      <c r="AD65" s="4">
        <f>IF('Tenure Split (WALES)'!$D$18="Land Registry Data",'House Prices (Mid and SW Wales)'!E65,'House Prices (Mid and SW Wales)'!W65)</f>
        <v>195832.12345891213</v>
      </c>
      <c r="AE65" s="4">
        <f>IF('Tenure Split (WALES)'!$D$18="Land Registry Data",'House Prices (Mid and SW Wales)'!F65,'House Prices (Mid and SW Wales)'!X65)</f>
        <v>200047.28850602364</v>
      </c>
      <c r="AF65" s="4">
        <f>IF('Tenure Split (WALES)'!$D$18="Land Registry Data",'House Prices (Mid and SW Wales)'!G65,'House Prices (Mid and SW Wales)'!Y65)</f>
        <v>207848.96642265169</v>
      </c>
      <c r="AG65" s="4">
        <f>IF('Tenure Split (WALES)'!$D$18="Land Registry Data",'House Prices (Mid and SW Wales)'!H65,'House Prices (Mid and SW Wales)'!Z65)</f>
        <v>216470.52573305299</v>
      </c>
    </row>
    <row r="66" spans="2:33" x14ac:dyDescent="0.25">
      <c r="B66" s="20">
        <v>72</v>
      </c>
      <c r="C66" s="58">
        <v>194000</v>
      </c>
      <c r="D66" s="59">
        <f>C66*(1+'Tenure Split (Mid and SW Wales)'!C$118)</f>
        <v>199510.68354686032</v>
      </c>
      <c r="E66" s="59">
        <f>D66*(1+'Tenure Split (Mid and SW Wales)'!D$118)</f>
        <v>199954.90500541555</v>
      </c>
      <c r="F66" s="59">
        <f>E66*(1+'Tenure Split (Mid and SW Wales)'!E$118)</f>
        <v>204258.81036930837</v>
      </c>
      <c r="G66" s="59">
        <f>F66*(1+'Tenure Split (Mid and SW Wales)'!F$118)</f>
        <v>212224.7341368128</v>
      </c>
      <c r="H66" s="59">
        <f>G66*(1+'Tenure Split (Mid and SW Wales)'!G$118)</f>
        <v>221027.79995901202</v>
      </c>
      <c r="L66" s="64" t="str">
        <f t="shared" si="0"/>
        <v/>
      </c>
      <c r="M66" s="264"/>
      <c r="N66" s="14">
        <f t="shared" si="3"/>
        <v>1</v>
      </c>
      <c r="T66" s="1">
        <f t="shared" si="1"/>
        <v>72</v>
      </c>
      <c r="U66" s="4" t="str">
        <f t="shared" si="2"/>
        <v/>
      </c>
      <c r="V66" s="4" t="e">
        <f>IF($V$3=$M$3,M66,U66*(1+'Tenure Split (WALES)'!C$118))</f>
        <v>#VALUE!</v>
      </c>
      <c r="W66" s="4" t="e">
        <f>V66*(1+'Tenure Split (WALES)'!D$118)</f>
        <v>#VALUE!</v>
      </c>
      <c r="X66" s="4" t="e">
        <f>W66*(1+'Tenure Split (WALES)'!E$118)</f>
        <v>#VALUE!</v>
      </c>
      <c r="Y66" s="4" t="e">
        <f>X66*(1+'Tenure Split (WALES)'!F$118)</f>
        <v>#VALUE!</v>
      </c>
      <c r="Z66" s="4" t="e">
        <f>Y66*(1+'Tenure Split (WALES)'!G$118)</f>
        <v>#VALUE!</v>
      </c>
      <c r="AB66" s="1">
        <v>72</v>
      </c>
      <c r="AC66" s="4">
        <f>IF('Tenure Split (WALES)'!$D$18="Land Registry Data",'House Prices (Mid and SW Wales)'!D66,'House Prices (Mid and SW Wales)'!V66)</f>
        <v>199510.68354686032</v>
      </c>
      <c r="AD66" s="4">
        <f>IF('Tenure Split (WALES)'!$D$18="Land Registry Data",'House Prices (Mid and SW Wales)'!E66,'House Prices (Mid and SW Wales)'!W66)</f>
        <v>199954.90500541555</v>
      </c>
      <c r="AE66" s="4">
        <f>IF('Tenure Split (WALES)'!$D$18="Land Registry Data",'House Prices (Mid and SW Wales)'!F66,'House Prices (Mid and SW Wales)'!X66)</f>
        <v>204258.81036930837</v>
      </c>
      <c r="AF66" s="4">
        <f>IF('Tenure Split (WALES)'!$D$18="Land Registry Data",'House Prices (Mid and SW Wales)'!G66,'House Prices (Mid and SW Wales)'!Y66)</f>
        <v>212224.7341368128</v>
      </c>
      <c r="AG66" s="4">
        <f>IF('Tenure Split (WALES)'!$D$18="Land Registry Data",'House Prices (Mid and SW Wales)'!H66,'House Prices (Mid and SW Wales)'!Z66)</f>
        <v>221027.79995901202</v>
      </c>
    </row>
    <row r="67" spans="2:33" x14ac:dyDescent="0.25">
      <c r="B67" s="20">
        <v>73</v>
      </c>
      <c r="C67" s="58">
        <v>197500</v>
      </c>
      <c r="D67" s="59">
        <f>C67*(1+'Tenure Split (Mid and SW Wales)'!C$118)</f>
        <v>203110.10309538615</v>
      </c>
      <c r="E67" s="59">
        <f>D67*(1+'Tenure Split (Mid and SW Wales)'!D$118)</f>
        <v>203562.33885860603</v>
      </c>
      <c r="F67" s="59">
        <f>E67*(1+'Tenure Split (Mid and SW Wales)'!E$118)</f>
        <v>207943.89199968247</v>
      </c>
      <c r="G67" s="59">
        <f>F67*(1+'Tenure Split (Mid and SW Wales)'!F$118)</f>
        <v>216053.53088670375</v>
      </c>
      <c r="H67" s="59">
        <f>G67*(1+'Tenure Split (Mid and SW Wales)'!G$118)</f>
        <v>225015.41490672616</v>
      </c>
      <c r="L67" s="64" t="str">
        <f t="shared" si="0"/>
        <v/>
      </c>
      <c r="M67" s="264"/>
      <c r="N67" s="14">
        <f t="shared" si="3"/>
        <v>1</v>
      </c>
      <c r="T67" s="1">
        <f t="shared" si="1"/>
        <v>73</v>
      </c>
      <c r="U67" s="4" t="str">
        <f t="shared" si="2"/>
        <v/>
      </c>
      <c r="V67" s="4" t="e">
        <f>IF($V$3=$M$3,M67,U67*(1+'Tenure Split (WALES)'!C$118))</f>
        <v>#VALUE!</v>
      </c>
      <c r="W67" s="4" t="e">
        <f>V67*(1+'Tenure Split (WALES)'!D$118)</f>
        <v>#VALUE!</v>
      </c>
      <c r="X67" s="4" t="e">
        <f>W67*(1+'Tenure Split (WALES)'!E$118)</f>
        <v>#VALUE!</v>
      </c>
      <c r="Y67" s="4" t="e">
        <f>X67*(1+'Tenure Split (WALES)'!F$118)</f>
        <v>#VALUE!</v>
      </c>
      <c r="Z67" s="4" t="e">
        <f>Y67*(1+'Tenure Split (WALES)'!G$118)</f>
        <v>#VALUE!</v>
      </c>
      <c r="AB67" s="1">
        <v>73</v>
      </c>
      <c r="AC67" s="4">
        <f>IF('Tenure Split (WALES)'!$D$18="Land Registry Data",'House Prices (Mid and SW Wales)'!D67,'House Prices (Mid and SW Wales)'!V67)</f>
        <v>203110.10309538615</v>
      </c>
      <c r="AD67" s="4">
        <f>IF('Tenure Split (WALES)'!$D$18="Land Registry Data",'House Prices (Mid and SW Wales)'!E67,'House Prices (Mid and SW Wales)'!W67)</f>
        <v>203562.33885860603</v>
      </c>
      <c r="AE67" s="4">
        <f>IF('Tenure Split (WALES)'!$D$18="Land Registry Data",'House Prices (Mid and SW Wales)'!F67,'House Prices (Mid and SW Wales)'!X67)</f>
        <v>207943.89199968247</v>
      </c>
      <c r="AF67" s="4">
        <f>IF('Tenure Split (WALES)'!$D$18="Land Registry Data",'House Prices (Mid and SW Wales)'!G67,'House Prices (Mid and SW Wales)'!Y67)</f>
        <v>216053.53088670375</v>
      </c>
      <c r="AG67" s="4">
        <f>IF('Tenure Split (WALES)'!$D$18="Land Registry Data",'House Prices (Mid and SW Wales)'!H67,'House Prices (Mid and SW Wales)'!Z67)</f>
        <v>225015.41490672616</v>
      </c>
    </row>
    <row r="68" spans="2:33" x14ac:dyDescent="0.25">
      <c r="B68" s="20">
        <v>74</v>
      </c>
      <c r="C68" s="58">
        <v>200000</v>
      </c>
      <c r="D68" s="59">
        <f>C68*(1+'Tenure Split (Mid and SW Wales)'!C$118)</f>
        <v>205681.1170586189</v>
      </c>
      <c r="E68" s="59">
        <f>D68*(1+'Tenure Split (Mid and SW Wales)'!D$118)</f>
        <v>206139.07732517069</v>
      </c>
      <c r="F68" s="59">
        <f>E68*(1+'Tenure Split (Mid and SW Wales)'!E$118)</f>
        <v>210576.09316423544</v>
      </c>
      <c r="G68" s="59">
        <f>F68*(1+'Tenure Split (Mid and SW Wales)'!F$118)</f>
        <v>218788.38570805444</v>
      </c>
      <c r="H68" s="59">
        <f>G68*(1+'Tenure Split (Mid and SW Wales)'!G$118)</f>
        <v>227863.71129795056</v>
      </c>
      <c r="L68" s="64" t="str">
        <f t="shared" ref="L68:L84" si="4">IF(ISBLANK($K$4),"",B68)</f>
        <v/>
      </c>
      <c r="M68" s="264"/>
      <c r="N68" s="14">
        <f t="shared" si="3"/>
        <v>1</v>
      </c>
      <c r="T68" s="1">
        <f t="shared" ref="T68:T84" si="5">B68</f>
        <v>74</v>
      </c>
      <c r="U68" s="4" t="str">
        <f t="shared" ref="U68:U84" si="6">IF($M$3=$U$3,M68,"")</f>
        <v/>
      </c>
      <c r="V68" s="4" t="e">
        <f>IF($V$3=$M$3,M68,U68*(1+'Tenure Split (WALES)'!C$118))</f>
        <v>#VALUE!</v>
      </c>
      <c r="W68" s="4" t="e">
        <f>V68*(1+'Tenure Split (WALES)'!D$118)</f>
        <v>#VALUE!</v>
      </c>
      <c r="X68" s="4" t="e">
        <f>W68*(1+'Tenure Split (WALES)'!E$118)</f>
        <v>#VALUE!</v>
      </c>
      <c r="Y68" s="4" t="e">
        <f>X68*(1+'Tenure Split (WALES)'!F$118)</f>
        <v>#VALUE!</v>
      </c>
      <c r="Z68" s="4" t="e">
        <f>Y68*(1+'Tenure Split (WALES)'!G$118)</f>
        <v>#VALUE!</v>
      </c>
      <c r="AB68" s="1">
        <v>74</v>
      </c>
      <c r="AC68" s="4">
        <f>IF('Tenure Split (WALES)'!$D$18="Land Registry Data",'House Prices (Mid and SW Wales)'!D68,'House Prices (Mid and SW Wales)'!V68)</f>
        <v>205681.1170586189</v>
      </c>
      <c r="AD68" s="4">
        <f>IF('Tenure Split (WALES)'!$D$18="Land Registry Data",'House Prices (Mid and SW Wales)'!E68,'House Prices (Mid and SW Wales)'!W68)</f>
        <v>206139.07732517069</v>
      </c>
      <c r="AE68" s="4">
        <f>IF('Tenure Split (WALES)'!$D$18="Land Registry Data",'House Prices (Mid and SW Wales)'!F68,'House Prices (Mid and SW Wales)'!X68)</f>
        <v>210576.09316423544</v>
      </c>
      <c r="AF68" s="4">
        <f>IF('Tenure Split (WALES)'!$D$18="Land Registry Data",'House Prices (Mid and SW Wales)'!G68,'House Prices (Mid and SW Wales)'!Y68)</f>
        <v>218788.38570805444</v>
      </c>
      <c r="AG68" s="4">
        <f>IF('Tenure Split (WALES)'!$D$18="Land Registry Data",'House Prices (Mid and SW Wales)'!H68,'House Prices (Mid and SW Wales)'!Z68)</f>
        <v>227863.71129795056</v>
      </c>
    </row>
    <row r="69" spans="2:33" x14ac:dyDescent="0.25">
      <c r="B69" s="20">
        <v>75</v>
      </c>
      <c r="C69" s="58">
        <v>205000</v>
      </c>
      <c r="D69" s="59">
        <f>C69*(1+'Tenure Split (Mid and SW Wales)'!C$118)</f>
        <v>210823.14498508436</v>
      </c>
      <c r="E69" s="59">
        <f>D69*(1+'Tenure Split (Mid and SW Wales)'!D$118)</f>
        <v>211292.55425829993</v>
      </c>
      <c r="F69" s="59">
        <f>E69*(1+'Tenure Split (Mid and SW Wales)'!E$118)</f>
        <v>215840.4954933413</v>
      </c>
      <c r="G69" s="59">
        <f>F69*(1+'Tenure Split (Mid and SW Wales)'!F$118)</f>
        <v>224258.09535075579</v>
      </c>
      <c r="H69" s="59">
        <f>G69*(1+'Tenure Split (Mid and SW Wales)'!G$118)</f>
        <v>233560.30408039931</v>
      </c>
      <c r="L69" s="64" t="str">
        <f t="shared" si="4"/>
        <v/>
      </c>
      <c r="M69" s="264"/>
      <c r="N69" s="14">
        <f t="shared" ref="N69:N84" si="7">IF(ISBLANK(M69),1,0)</f>
        <v>1</v>
      </c>
      <c r="T69" s="1">
        <f t="shared" si="5"/>
        <v>75</v>
      </c>
      <c r="U69" s="4" t="str">
        <f t="shared" si="6"/>
        <v/>
      </c>
      <c r="V69" s="4" t="e">
        <f>IF($V$3=$M$3,M69,U69*(1+'Tenure Split (WALES)'!C$118))</f>
        <v>#VALUE!</v>
      </c>
      <c r="W69" s="4" t="e">
        <f>V69*(1+'Tenure Split (WALES)'!D$118)</f>
        <v>#VALUE!</v>
      </c>
      <c r="X69" s="4" t="e">
        <f>W69*(1+'Tenure Split (WALES)'!E$118)</f>
        <v>#VALUE!</v>
      </c>
      <c r="Y69" s="4" t="e">
        <f>X69*(1+'Tenure Split (WALES)'!F$118)</f>
        <v>#VALUE!</v>
      </c>
      <c r="Z69" s="4" t="e">
        <f>Y69*(1+'Tenure Split (WALES)'!G$118)</f>
        <v>#VALUE!</v>
      </c>
      <c r="AB69" s="1">
        <v>75</v>
      </c>
      <c r="AC69" s="4">
        <f>IF('Tenure Split (WALES)'!$D$18="Land Registry Data",'House Prices (Mid and SW Wales)'!D69,'House Prices (Mid and SW Wales)'!V69)</f>
        <v>210823.14498508436</v>
      </c>
      <c r="AD69" s="4">
        <f>IF('Tenure Split (WALES)'!$D$18="Land Registry Data",'House Prices (Mid and SW Wales)'!E69,'House Prices (Mid and SW Wales)'!W69)</f>
        <v>211292.55425829993</v>
      </c>
      <c r="AE69" s="4">
        <f>IF('Tenure Split (WALES)'!$D$18="Land Registry Data",'House Prices (Mid and SW Wales)'!F69,'House Prices (Mid and SW Wales)'!X69)</f>
        <v>215840.4954933413</v>
      </c>
      <c r="AF69" s="4">
        <f>IF('Tenure Split (WALES)'!$D$18="Land Registry Data",'House Prices (Mid and SW Wales)'!G69,'House Prices (Mid and SW Wales)'!Y69)</f>
        <v>224258.09535075579</v>
      </c>
      <c r="AG69" s="4">
        <f>IF('Tenure Split (WALES)'!$D$18="Land Registry Data",'House Prices (Mid and SW Wales)'!H69,'House Prices (Mid and SW Wales)'!Z69)</f>
        <v>233560.30408039931</v>
      </c>
    </row>
    <row r="70" spans="2:33" x14ac:dyDescent="0.25">
      <c r="B70" s="20">
        <v>76</v>
      </c>
      <c r="C70" s="58">
        <v>210000</v>
      </c>
      <c r="D70" s="59">
        <f>C70*(1+'Tenure Split (Mid and SW Wales)'!C$118)</f>
        <v>215965.17291154983</v>
      </c>
      <c r="E70" s="59">
        <f>D70*(1+'Tenure Split (Mid and SW Wales)'!D$118)</f>
        <v>216446.03119142921</v>
      </c>
      <c r="F70" s="59">
        <f>E70*(1+'Tenure Split (Mid and SW Wales)'!E$118)</f>
        <v>221104.89782244721</v>
      </c>
      <c r="G70" s="59">
        <f>F70*(1+'Tenure Split (Mid and SW Wales)'!F$118)</f>
        <v>229727.80499345716</v>
      </c>
      <c r="H70" s="59">
        <f>G70*(1+'Tenure Split (Mid and SW Wales)'!G$118)</f>
        <v>239256.89686284808</v>
      </c>
      <c r="L70" s="64" t="str">
        <f t="shared" si="4"/>
        <v/>
      </c>
      <c r="M70" s="264"/>
      <c r="N70" s="14">
        <f t="shared" si="7"/>
        <v>1</v>
      </c>
      <c r="T70" s="1">
        <f t="shared" si="5"/>
        <v>76</v>
      </c>
      <c r="U70" s="4" t="str">
        <f t="shared" si="6"/>
        <v/>
      </c>
      <c r="V70" s="4" t="e">
        <f>IF($V$3=$M$3,M70,U70*(1+'Tenure Split (WALES)'!C$118))</f>
        <v>#VALUE!</v>
      </c>
      <c r="W70" s="4" t="e">
        <f>V70*(1+'Tenure Split (WALES)'!D$118)</f>
        <v>#VALUE!</v>
      </c>
      <c r="X70" s="4" t="e">
        <f>W70*(1+'Tenure Split (WALES)'!E$118)</f>
        <v>#VALUE!</v>
      </c>
      <c r="Y70" s="4" t="e">
        <f>X70*(1+'Tenure Split (WALES)'!F$118)</f>
        <v>#VALUE!</v>
      </c>
      <c r="Z70" s="4" t="e">
        <f>Y70*(1+'Tenure Split (WALES)'!G$118)</f>
        <v>#VALUE!</v>
      </c>
      <c r="AB70" s="1">
        <v>76</v>
      </c>
      <c r="AC70" s="4">
        <f>IF('Tenure Split (WALES)'!$D$18="Land Registry Data",'House Prices (Mid and SW Wales)'!D70,'House Prices (Mid and SW Wales)'!V70)</f>
        <v>215965.17291154983</v>
      </c>
      <c r="AD70" s="4">
        <f>IF('Tenure Split (WALES)'!$D$18="Land Registry Data",'House Prices (Mid and SW Wales)'!E70,'House Prices (Mid and SW Wales)'!W70)</f>
        <v>216446.03119142921</v>
      </c>
      <c r="AE70" s="4">
        <f>IF('Tenure Split (WALES)'!$D$18="Land Registry Data",'House Prices (Mid and SW Wales)'!F70,'House Prices (Mid and SW Wales)'!X70)</f>
        <v>221104.89782244721</v>
      </c>
      <c r="AF70" s="4">
        <f>IF('Tenure Split (WALES)'!$D$18="Land Registry Data",'House Prices (Mid and SW Wales)'!G70,'House Prices (Mid and SW Wales)'!Y70)</f>
        <v>229727.80499345716</v>
      </c>
      <c r="AG70" s="4">
        <f>IF('Tenure Split (WALES)'!$D$18="Land Registry Data",'House Prices (Mid and SW Wales)'!H70,'House Prices (Mid and SW Wales)'!Z70)</f>
        <v>239256.89686284808</v>
      </c>
    </row>
    <row r="71" spans="2:33" x14ac:dyDescent="0.25">
      <c r="B71" s="20">
        <v>77</v>
      </c>
      <c r="C71" s="58">
        <v>215000</v>
      </c>
      <c r="D71" s="59">
        <f>C71*(1+'Tenure Split (Mid and SW Wales)'!C$118)</f>
        <v>221107.2008380153</v>
      </c>
      <c r="E71" s="59">
        <f>D71*(1+'Tenure Split (Mid and SW Wales)'!D$118)</f>
        <v>221599.50812455846</v>
      </c>
      <c r="F71" s="59">
        <f>E71*(1+'Tenure Split (Mid and SW Wales)'!E$118)</f>
        <v>226369.30015155306</v>
      </c>
      <c r="G71" s="59">
        <f>F71*(1+'Tenure Split (Mid and SW Wales)'!F$118)</f>
        <v>235197.51463615851</v>
      </c>
      <c r="H71" s="59">
        <f>G71*(1+'Tenure Split (Mid and SW Wales)'!G$118)</f>
        <v>244953.48964529682</v>
      </c>
      <c r="L71" s="64" t="str">
        <f t="shared" si="4"/>
        <v/>
      </c>
      <c r="M71" s="264"/>
      <c r="N71" s="14">
        <f t="shared" si="7"/>
        <v>1</v>
      </c>
      <c r="T71" s="1">
        <f t="shared" si="5"/>
        <v>77</v>
      </c>
      <c r="U71" s="4" t="str">
        <f t="shared" si="6"/>
        <v/>
      </c>
      <c r="V71" s="4" t="e">
        <f>IF($V$3=$M$3,M71,U71*(1+'Tenure Split (WALES)'!C$118))</f>
        <v>#VALUE!</v>
      </c>
      <c r="W71" s="4" t="e">
        <f>V71*(1+'Tenure Split (WALES)'!D$118)</f>
        <v>#VALUE!</v>
      </c>
      <c r="X71" s="4" t="e">
        <f>W71*(1+'Tenure Split (WALES)'!E$118)</f>
        <v>#VALUE!</v>
      </c>
      <c r="Y71" s="4" t="e">
        <f>X71*(1+'Tenure Split (WALES)'!F$118)</f>
        <v>#VALUE!</v>
      </c>
      <c r="Z71" s="4" t="e">
        <f>Y71*(1+'Tenure Split (WALES)'!G$118)</f>
        <v>#VALUE!</v>
      </c>
      <c r="AB71" s="1">
        <v>77</v>
      </c>
      <c r="AC71" s="4">
        <f>IF('Tenure Split (WALES)'!$D$18="Land Registry Data",'House Prices (Mid and SW Wales)'!D71,'House Prices (Mid and SW Wales)'!V71)</f>
        <v>221107.2008380153</v>
      </c>
      <c r="AD71" s="4">
        <f>IF('Tenure Split (WALES)'!$D$18="Land Registry Data",'House Prices (Mid and SW Wales)'!E71,'House Prices (Mid and SW Wales)'!W71)</f>
        <v>221599.50812455846</v>
      </c>
      <c r="AE71" s="4">
        <f>IF('Tenure Split (WALES)'!$D$18="Land Registry Data",'House Prices (Mid and SW Wales)'!F71,'House Prices (Mid and SW Wales)'!X71)</f>
        <v>226369.30015155306</v>
      </c>
      <c r="AF71" s="4">
        <f>IF('Tenure Split (WALES)'!$D$18="Land Registry Data",'House Prices (Mid and SW Wales)'!G71,'House Prices (Mid and SW Wales)'!Y71)</f>
        <v>235197.51463615851</v>
      </c>
      <c r="AG71" s="4">
        <f>IF('Tenure Split (WALES)'!$D$18="Land Registry Data",'House Prices (Mid and SW Wales)'!H71,'House Prices (Mid and SW Wales)'!Z71)</f>
        <v>244953.48964529682</v>
      </c>
    </row>
    <row r="72" spans="2:33" x14ac:dyDescent="0.25">
      <c r="B72" s="20">
        <v>78</v>
      </c>
      <c r="C72" s="58">
        <v>218000</v>
      </c>
      <c r="D72" s="59">
        <f>C72*(1+'Tenure Split (Mid and SW Wales)'!C$118)</f>
        <v>224192.41759389458</v>
      </c>
      <c r="E72" s="59">
        <f>D72*(1+'Tenure Split (Mid and SW Wales)'!D$118)</f>
        <v>224691.59428443603</v>
      </c>
      <c r="F72" s="59">
        <f>E72*(1+'Tenure Split (Mid and SW Wales)'!E$118)</f>
        <v>229527.9415490166</v>
      </c>
      <c r="G72" s="59">
        <f>F72*(1+'Tenure Split (Mid and SW Wales)'!F$118)</f>
        <v>238479.34042177931</v>
      </c>
      <c r="H72" s="59">
        <f>G72*(1+'Tenure Split (Mid and SW Wales)'!G$118)</f>
        <v>248371.44531476608</v>
      </c>
      <c r="L72" s="64" t="str">
        <f t="shared" si="4"/>
        <v/>
      </c>
      <c r="M72" s="264"/>
      <c r="N72" s="14">
        <f t="shared" si="7"/>
        <v>1</v>
      </c>
      <c r="T72" s="1">
        <f t="shared" si="5"/>
        <v>78</v>
      </c>
      <c r="U72" s="4" t="str">
        <f t="shared" si="6"/>
        <v/>
      </c>
      <c r="V72" s="4" t="e">
        <f>IF($V$3=$M$3,M72,U72*(1+'Tenure Split (WALES)'!C$118))</f>
        <v>#VALUE!</v>
      </c>
      <c r="W72" s="4" t="e">
        <f>V72*(1+'Tenure Split (WALES)'!D$118)</f>
        <v>#VALUE!</v>
      </c>
      <c r="X72" s="4" t="e">
        <f>W72*(1+'Tenure Split (WALES)'!E$118)</f>
        <v>#VALUE!</v>
      </c>
      <c r="Y72" s="4" t="e">
        <f>X72*(1+'Tenure Split (WALES)'!F$118)</f>
        <v>#VALUE!</v>
      </c>
      <c r="Z72" s="4" t="e">
        <f>Y72*(1+'Tenure Split (WALES)'!G$118)</f>
        <v>#VALUE!</v>
      </c>
      <c r="AB72" s="1">
        <v>78</v>
      </c>
      <c r="AC72" s="4">
        <f>IF('Tenure Split (WALES)'!$D$18="Land Registry Data",'House Prices (Mid and SW Wales)'!D72,'House Prices (Mid and SW Wales)'!V72)</f>
        <v>224192.41759389458</v>
      </c>
      <c r="AD72" s="4">
        <f>IF('Tenure Split (WALES)'!$D$18="Land Registry Data",'House Prices (Mid and SW Wales)'!E72,'House Prices (Mid and SW Wales)'!W72)</f>
        <v>224691.59428443603</v>
      </c>
      <c r="AE72" s="4">
        <f>IF('Tenure Split (WALES)'!$D$18="Land Registry Data",'House Prices (Mid and SW Wales)'!F72,'House Prices (Mid and SW Wales)'!X72)</f>
        <v>229527.9415490166</v>
      </c>
      <c r="AF72" s="4">
        <f>IF('Tenure Split (WALES)'!$D$18="Land Registry Data",'House Prices (Mid and SW Wales)'!G72,'House Prices (Mid and SW Wales)'!Y72)</f>
        <v>238479.34042177931</v>
      </c>
      <c r="AG72" s="4">
        <f>IF('Tenure Split (WALES)'!$D$18="Land Registry Data",'House Prices (Mid and SW Wales)'!H72,'House Prices (Mid and SW Wales)'!Z72)</f>
        <v>248371.44531476608</v>
      </c>
    </row>
    <row r="73" spans="2:33" x14ac:dyDescent="0.25">
      <c r="B73" s="20">
        <v>79</v>
      </c>
      <c r="C73" s="58">
        <v>220000</v>
      </c>
      <c r="D73" s="59">
        <f>C73*(1+'Tenure Split (Mid and SW Wales)'!C$118)</f>
        <v>226249.22876448077</v>
      </c>
      <c r="E73" s="59">
        <f>D73*(1+'Tenure Split (Mid and SW Wales)'!D$118)</f>
        <v>226752.98505768774</v>
      </c>
      <c r="F73" s="59">
        <f>E73*(1+'Tenure Split (Mid and SW Wales)'!E$118)</f>
        <v>231633.70248065895</v>
      </c>
      <c r="G73" s="59">
        <f>F73*(1+'Tenure Split (Mid and SW Wales)'!F$118)</f>
        <v>240667.22427885985</v>
      </c>
      <c r="H73" s="59">
        <f>G73*(1+'Tenure Split (Mid and SW Wales)'!G$118)</f>
        <v>250650.08242774557</v>
      </c>
      <c r="L73" s="64" t="str">
        <f t="shared" si="4"/>
        <v/>
      </c>
      <c r="M73" s="264"/>
      <c r="N73" s="14">
        <f t="shared" si="7"/>
        <v>1</v>
      </c>
      <c r="T73" s="1">
        <f t="shared" si="5"/>
        <v>79</v>
      </c>
      <c r="U73" s="4" t="str">
        <f t="shared" si="6"/>
        <v/>
      </c>
      <c r="V73" s="4" t="e">
        <f>IF($V$3=$M$3,M73,U73*(1+'Tenure Split (WALES)'!C$118))</f>
        <v>#VALUE!</v>
      </c>
      <c r="W73" s="4" t="e">
        <f>V73*(1+'Tenure Split (WALES)'!D$118)</f>
        <v>#VALUE!</v>
      </c>
      <c r="X73" s="4" t="e">
        <f>W73*(1+'Tenure Split (WALES)'!E$118)</f>
        <v>#VALUE!</v>
      </c>
      <c r="Y73" s="4" t="e">
        <f>X73*(1+'Tenure Split (WALES)'!F$118)</f>
        <v>#VALUE!</v>
      </c>
      <c r="Z73" s="4" t="e">
        <f>Y73*(1+'Tenure Split (WALES)'!G$118)</f>
        <v>#VALUE!</v>
      </c>
      <c r="AB73" s="1">
        <v>79</v>
      </c>
      <c r="AC73" s="4">
        <f>IF('Tenure Split (WALES)'!$D$18="Land Registry Data",'House Prices (Mid and SW Wales)'!D73,'House Prices (Mid and SW Wales)'!V73)</f>
        <v>226249.22876448077</v>
      </c>
      <c r="AD73" s="4">
        <f>IF('Tenure Split (WALES)'!$D$18="Land Registry Data",'House Prices (Mid and SW Wales)'!E73,'House Prices (Mid and SW Wales)'!W73)</f>
        <v>226752.98505768774</v>
      </c>
      <c r="AE73" s="4">
        <f>IF('Tenure Split (WALES)'!$D$18="Land Registry Data",'House Prices (Mid and SW Wales)'!F73,'House Prices (Mid and SW Wales)'!X73)</f>
        <v>231633.70248065895</v>
      </c>
      <c r="AF73" s="4">
        <f>IF('Tenure Split (WALES)'!$D$18="Land Registry Data",'House Prices (Mid and SW Wales)'!G73,'House Prices (Mid and SW Wales)'!Y73)</f>
        <v>240667.22427885985</v>
      </c>
      <c r="AG73" s="4">
        <f>IF('Tenure Split (WALES)'!$D$18="Land Registry Data",'House Prices (Mid and SW Wales)'!H73,'House Prices (Mid and SW Wales)'!Z73)</f>
        <v>250650.08242774557</v>
      </c>
    </row>
    <row r="74" spans="2:33" x14ac:dyDescent="0.25">
      <c r="B74" s="20">
        <v>80</v>
      </c>
      <c r="C74" s="58">
        <v>225000</v>
      </c>
      <c r="D74" s="59">
        <f>C74*(1+'Tenure Split (Mid and SW Wales)'!C$118)</f>
        <v>231391.25669094626</v>
      </c>
      <c r="E74" s="59">
        <f>D74*(1+'Tenure Split (Mid and SW Wales)'!D$118)</f>
        <v>231906.46199081701</v>
      </c>
      <c r="F74" s="59">
        <f>E74*(1+'Tenure Split (Mid and SW Wales)'!E$118)</f>
        <v>236898.10480976486</v>
      </c>
      <c r="G74" s="59">
        <f>F74*(1+'Tenure Split (Mid and SW Wales)'!F$118)</f>
        <v>246136.93392156126</v>
      </c>
      <c r="H74" s="59">
        <f>G74*(1+'Tenure Split (Mid and SW Wales)'!G$118)</f>
        <v>256346.6752101944</v>
      </c>
      <c r="L74" s="64" t="str">
        <f t="shared" si="4"/>
        <v/>
      </c>
      <c r="M74" s="264"/>
      <c r="N74" s="14">
        <f t="shared" si="7"/>
        <v>1</v>
      </c>
      <c r="T74" s="1">
        <f t="shared" si="5"/>
        <v>80</v>
      </c>
      <c r="U74" s="4" t="str">
        <f t="shared" si="6"/>
        <v/>
      </c>
      <c r="V74" s="4" t="e">
        <f>IF($V$3=$M$3,M74,U74*(1+'Tenure Split (WALES)'!C$118))</f>
        <v>#VALUE!</v>
      </c>
      <c r="W74" s="4" t="e">
        <f>V74*(1+'Tenure Split (WALES)'!D$118)</f>
        <v>#VALUE!</v>
      </c>
      <c r="X74" s="4" t="e">
        <f>W74*(1+'Tenure Split (WALES)'!E$118)</f>
        <v>#VALUE!</v>
      </c>
      <c r="Y74" s="4" t="e">
        <f>X74*(1+'Tenure Split (WALES)'!F$118)</f>
        <v>#VALUE!</v>
      </c>
      <c r="Z74" s="4" t="e">
        <f>Y74*(1+'Tenure Split (WALES)'!G$118)</f>
        <v>#VALUE!</v>
      </c>
      <c r="AB74" s="1">
        <v>80</v>
      </c>
      <c r="AC74" s="4">
        <f>IF('Tenure Split (WALES)'!$D$18="Land Registry Data",'House Prices (Mid and SW Wales)'!D74,'House Prices (Mid and SW Wales)'!V74)</f>
        <v>231391.25669094626</v>
      </c>
      <c r="AD74" s="4">
        <f>IF('Tenure Split (WALES)'!$D$18="Land Registry Data",'House Prices (Mid and SW Wales)'!E74,'House Prices (Mid and SW Wales)'!W74)</f>
        <v>231906.46199081701</v>
      </c>
      <c r="AE74" s="4">
        <f>IF('Tenure Split (WALES)'!$D$18="Land Registry Data",'House Prices (Mid and SW Wales)'!F74,'House Prices (Mid and SW Wales)'!X74)</f>
        <v>236898.10480976486</v>
      </c>
      <c r="AF74" s="4">
        <f>IF('Tenure Split (WALES)'!$D$18="Land Registry Data",'House Prices (Mid and SW Wales)'!G74,'House Prices (Mid and SW Wales)'!Y74)</f>
        <v>246136.93392156126</v>
      </c>
      <c r="AG74" s="4">
        <f>IF('Tenure Split (WALES)'!$D$18="Land Registry Data",'House Prices (Mid and SW Wales)'!H74,'House Prices (Mid and SW Wales)'!Z74)</f>
        <v>256346.6752101944</v>
      </c>
    </row>
    <row r="75" spans="2:33" x14ac:dyDescent="0.25">
      <c r="B75" s="20">
        <v>81</v>
      </c>
      <c r="C75" s="58">
        <v>230000</v>
      </c>
      <c r="D75" s="59">
        <f>C75*(1+'Tenure Split (Mid and SW Wales)'!C$118)</f>
        <v>236533.28461741173</v>
      </c>
      <c r="E75" s="59">
        <f>D75*(1+'Tenure Split (Mid and SW Wales)'!D$118)</f>
        <v>237059.93892394629</v>
      </c>
      <c r="F75" s="59">
        <f>E75*(1+'Tenure Split (Mid and SW Wales)'!E$118)</f>
        <v>242162.50713887074</v>
      </c>
      <c r="G75" s="59">
        <f>F75*(1+'Tenure Split (Mid and SW Wales)'!F$118)</f>
        <v>251606.6435642626</v>
      </c>
      <c r="H75" s="59">
        <f>G75*(1+'Tenure Split (Mid and SW Wales)'!G$118)</f>
        <v>262043.26799264314</v>
      </c>
      <c r="L75" s="64" t="str">
        <f t="shared" si="4"/>
        <v/>
      </c>
      <c r="M75" s="264"/>
      <c r="N75" s="14">
        <f t="shared" si="7"/>
        <v>1</v>
      </c>
      <c r="T75" s="1">
        <f t="shared" si="5"/>
        <v>81</v>
      </c>
      <c r="U75" s="4" t="str">
        <f t="shared" si="6"/>
        <v/>
      </c>
      <c r="V75" s="4" t="e">
        <f>IF($V$3=$M$3,M75,U75*(1+'Tenure Split (WALES)'!C$118))</f>
        <v>#VALUE!</v>
      </c>
      <c r="W75" s="4" t="e">
        <f>V75*(1+'Tenure Split (WALES)'!D$118)</f>
        <v>#VALUE!</v>
      </c>
      <c r="X75" s="4" t="e">
        <f>W75*(1+'Tenure Split (WALES)'!E$118)</f>
        <v>#VALUE!</v>
      </c>
      <c r="Y75" s="4" t="e">
        <f>X75*(1+'Tenure Split (WALES)'!F$118)</f>
        <v>#VALUE!</v>
      </c>
      <c r="Z75" s="4" t="e">
        <f>Y75*(1+'Tenure Split (WALES)'!G$118)</f>
        <v>#VALUE!</v>
      </c>
      <c r="AB75" s="1">
        <v>81</v>
      </c>
      <c r="AC75" s="4">
        <f>IF('Tenure Split (WALES)'!$D$18="Land Registry Data",'House Prices (Mid and SW Wales)'!D75,'House Prices (Mid and SW Wales)'!V75)</f>
        <v>236533.28461741173</v>
      </c>
      <c r="AD75" s="4">
        <f>IF('Tenure Split (WALES)'!$D$18="Land Registry Data",'House Prices (Mid and SW Wales)'!E75,'House Prices (Mid and SW Wales)'!W75)</f>
        <v>237059.93892394629</v>
      </c>
      <c r="AE75" s="4">
        <f>IF('Tenure Split (WALES)'!$D$18="Land Registry Data",'House Prices (Mid and SW Wales)'!F75,'House Prices (Mid and SW Wales)'!X75)</f>
        <v>242162.50713887074</v>
      </c>
      <c r="AF75" s="4">
        <f>IF('Tenure Split (WALES)'!$D$18="Land Registry Data",'House Prices (Mid and SW Wales)'!G75,'House Prices (Mid and SW Wales)'!Y75)</f>
        <v>251606.6435642626</v>
      </c>
      <c r="AG75" s="4">
        <f>IF('Tenure Split (WALES)'!$D$18="Land Registry Data",'House Prices (Mid and SW Wales)'!H75,'House Prices (Mid and SW Wales)'!Z75)</f>
        <v>262043.26799264314</v>
      </c>
    </row>
    <row r="76" spans="2:33" x14ac:dyDescent="0.25">
      <c r="B76" s="20">
        <v>82</v>
      </c>
      <c r="C76" s="58">
        <v>233000</v>
      </c>
      <c r="D76" s="59">
        <f>C76*(1+'Tenure Split (Mid and SW Wales)'!C$118)</f>
        <v>239618.50137329102</v>
      </c>
      <c r="E76" s="59">
        <f>D76*(1+'Tenure Split (Mid and SW Wales)'!D$118)</f>
        <v>240152.02508382386</v>
      </c>
      <c r="F76" s="59">
        <f>E76*(1+'Tenure Split (Mid and SW Wales)'!E$118)</f>
        <v>245321.14853633428</v>
      </c>
      <c r="G76" s="59">
        <f>F76*(1+'Tenure Split (Mid and SW Wales)'!F$118)</f>
        <v>254888.46934988344</v>
      </c>
      <c r="H76" s="59">
        <f>G76*(1+'Tenure Split (Mid and SW Wales)'!G$118)</f>
        <v>265461.22366211243</v>
      </c>
      <c r="L76" s="64" t="str">
        <f t="shared" si="4"/>
        <v/>
      </c>
      <c r="M76" s="264"/>
      <c r="N76" s="14">
        <f t="shared" si="7"/>
        <v>1</v>
      </c>
      <c r="T76" s="1">
        <f t="shared" si="5"/>
        <v>82</v>
      </c>
      <c r="U76" s="4" t="str">
        <f t="shared" si="6"/>
        <v/>
      </c>
      <c r="V76" s="4" t="e">
        <f>IF($V$3=$M$3,M76,U76*(1+'Tenure Split (WALES)'!C$118))</f>
        <v>#VALUE!</v>
      </c>
      <c r="W76" s="4" t="e">
        <f>V76*(1+'Tenure Split (WALES)'!D$118)</f>
        <v>#VALUE!</v>
      </c>
      <c r="X76" s="4" t="e">
        <f>W76*(1+'Tenure Split (WALES)'!E$118)</f>
        <v>#VALUE!</v>
      </c>
      <c r="Y76" s="4" t="e">
        <f>X76*(1+'Tenure Split (WALES)'!F$118)</f>
        <v>#VALUE!</v>
      </c>
      <c r="Z76" s="4" t="e">
        <f>Y76*(1+'Tenure Split (WALES)'!G$118)</f>
        <v>#VALUE!</v>
      </c>
      <c r="AB76" s="1">
        <v>82</v>
      </c>
      <c r="AC76" s="4">
        <f>IF('Tenure Split (WALES)'!$D$18="Land Registry Data",'House Prices (Mid and SW Wales)'!D76,'House Prices (Mid and SW Wales)'!V76)</f>
        <v>239618.50137329102</v>
      </c>
      <c r="AD76" s="4">
        <f>IF('Tenure Split (WALES)'!$D$18="Land Registry Data",'House Prices (Mid and SW Wales)'!E76,'House Prices (Mid and SW Wales)'!W76)</f>
        <v>240152.02508382386</v>
      </c>
      <c r="AE76" s="4">
        <f>IF('Tenure Split (WALES)'!$D$18="Land Registry Data",'House Prices (Mid and SW Wales)'!F76,'House Prices (Mid and SW Wales)'!X76)</f>
        <v>245321.14853633428</v>
      </c>
      <c r="AF76" s="4">
        <f>IF('Tenure Split (WALES)'!$D$18="Land Registry Data",'House Prices (Mid and SW Wales)'!G76,'House Prices (Mid and SW Wales)'!Y76)</f>
        <v>254888.46934988344</v>
      </c>
      <c r="AG76" s="4">
        <f>IF('Tenure Split (WALES)'!$D$18="Land Registry Data",'House Prices (Mid and SW Wales)'!H76,'House Prices (Mid and SW Wales)'!Z76)</f>
        <v>265461.22366211243</v>
      </c>
    </row>
    <row r="77" spans="2:33" x14ac:dyDescent="0.25">
      <c r="B77" s="20">
        <v>83</v>
      </c>
      <c r="C77" s="58">
        <v>238000</v>
      </c>
      <c r="D77" s="59">
        <f>C77*(1+'Tenure Split (Mid and SW Wales)'!C$118)</f>
        <v>244760.52929975648</v>
      </c>
      <c r="E77" s="59">
        <f>D77*(1+'Tenure Split (Mid and SW Wales)'!D$118)</f>
        <v>245305.50201695311</v>
      </c>
      <c r="F77" s="59">
        <f>E77*(1+'Tenure Split (Mid and SW Wales)'!E$118)</f>
        <v>250585.55086544016</v>
      </c>
      <c r="G77" s="59">
        <f>F77*(1+'Tenure Split (Mid and SW Wales)'!F$118)</f>
        <v>260358.17899258478</v>
      </c>
      <c r="H77" s="59">
        <f>G77*(1+'Tenure Split (Mid and SW Wales)'!G$118)</f>
        <v>271157.81644456118</v>
      </c>
      <c r="L77" s="64" t="str">
        <f t="shared" si="4"/>
        <v/>
      </c>
      <c r="M77" s="264"/>
      <c r="N77" s="14">
        <f t="shared" si="7"/>
        <v>1</v>
      </c>
      <c r="T77" s="1">
        <f t="shared" si="5"/>
        <v>83</v>
      </c>
      <c r="U77" s="4" t="str">
        <f t="shared" si="6"/>
        <v/>
      </c>
      <c r="V77" s="4" t="e">
        <f>IF($V$3=$M$3,M77,U77*(1+'Tenure Split (WALES)'!C$118))</f>
        <v>#VALUE!</v>
      </c>
      <c r="W77" s="4" t="e">
        <f>V77*(1+'Tenure Split (WALES)'!D$118)</f>
        <v>#VALUE!</v>
      </c>
      <c r="X77" s="4" t="e">
        <f>W77*(1+'Tenure Split (WALES)'!E$118)</f>
        <v>#VALUE!</v>
      </c>
      <c r="Y77" s="4" t="e">
        <f>X77*(1+'Tenure Split (WALES)'!F$118)</f>
        <v>#VALUE!</v>
      </c>
      <c r="Z77" s="4" t="e">
        <f>Y77*(1+'Tenure Split (WALES)'!G$118)</f>
        <v>#VALUE!</v>
      </c>
      <c r="AB77" s="1">
        <v>83</v>
      </c>
      <c r="AC77" s="4">
        <f>IF('Tenure Split (WALES)'!$D$18="Land Registry Data",'House Prices (Mid and SW Wales)'!D77,'House Prices (Mid and SW Wales)'!V77)</f>
        <v>244760.52929975648</v>
      </c>
      <c r="AD77" s="4">
        <f>IF('Tenure Split (WALES)'!$D$18="Land Registry Data",'House Prices (Mid and SW Wales)'!E77,'House Prices (Mid and SW Wales)'!W77)</f>
        <v>245305.50201695311</v>
      </c>
      <c r="AE77" s="4">
        <f>IF('Tenure Split (WALES)'!$D$18="Land Registry Data",'House Prices (Mid and SW Wales)'!F77,'House Prices (Mid and SW Wales)'!X77)</f>
        <v>250585.55086544016</v>
      </c>
      <c r="AF77" s="4">
        <f>IF('Tenure Split (WALES)'!$D$18="Land Registry Data",'House Prices (Mid and SW Wales)'!G77,'House Prices (Mid and SW Wales)'!Y77)</f>
        <v>260358.17899258478</v>
      </c>
      <c r="AG77" s="4">
        <f>IF('Tenure Split (WALES)'!$D$18="Land Registry Data",'House Prices (Mid and SW Wales)'!H77,'House Prices (Mid and SW Wales)'!Z77)</f>
        <v>271157.81644456118</v>
      </c>
    </row>
    <row r="78" spans="2:33" x14ac:dyDescent="0.25">
      <c r="B78" s="20">
        <v>84</v>
      </c>
      <c r="C78" s="58">
        <v>242000</v>
      </c>
      <c r="D78" s="59">
        <f>C78*(1+'Tenure Split (Mid and SW Wales)'!C$118)</f>
        <v>248874.15164092885</v>
      </c>
      <c r="E78" s="59">
        <f>D78*(1+'Tenure Split (Mid and SW Wales)'!D$118)</f>
        <v>249428.2835634565</v>
      </c>
      <c r="F78" s="59">
        <f>E78*(1+'Tenure Split (Mid and SW Wales)'!E$118)</f>
        <v>254797.07272872486</v>
      </c>
      <c r="G78" s="59">
        <f>F78*(1+'Tenure Split (Mid and SW Wales)'!F$118)</f>
        <v>264733.94670674583</v>
      </c>
      <c r="H78" s="59">
        <f>G78*(1+'Tenure Split (Mid and SW Wales)'!G$118)</f>
        <v>275715.09067052015</v>
      </c>
      <c r="L78" s="64" t="str">
        <f t="shared" si="4"/>
        <v/>
      </c>
      <c r="M78" s="264"/>
      <c r="N78" s="14">
        <f t="shared" si="7"/>
        <v>1</v>
      </c>
      <c r="T78" s="1">
        <f t="shared" si="5"/>
        <v>84</v>
      </c>
      <c r="U78" s="4" t="str">
        <f t="shared" si="6"/>
        <v/>
      </c>
      <c r="V78" s="4" t="e">
        <f>IF($V$3=$M$3,M78,U78*(1+'Tenure Split (WALES)'!C$118))</f>
        <v>#VALUE!</v>
      </c>
      <c r="W78" s="4" t="e">
        <f>V78*(1+'Tenure Split (WALES)'!D$118)</f>
        <v>#VALUE!</v>
      </c>
      <c r="X78" s="4" t="e">
        <f>W78*(1+'Tenure Split (WALES)'!E$118)</f>
        <v>#VALUE!</v>
      </c>
      <c r="Y78" s="4" t="e">
        <f>X78*(1+'Tenure Split (WALES)'!F$118)</f>
        <v>#VALUE!</v>
      </c>
      <c r="Z78" s="4" t="e">
        <f>Y78*(1+'Tenure Split (WALES)'!G$118)</f>
        <v>#VALUE!</v>
      </c>
      <c r="AB78" s="1">
        <v>84</v>
      </c>
      <c r="AC78" s="4">
        <f>IF('Tenure Split (WALES)'!$D$18="Land Registry Data",'House Prices (Mid and SW Wales)'!D78,'House Prices (Mid and SW Wales)'!V78)</f>
        <v>248874.15164092885</v>
      </c>
      <c r="AD78" s="4">
        <f>IF('Tenure Split (WALES)'!$D$18="Land Registry Data",'House Prices (Mid and SW Wales)'!E78,'House Prices (Mid and SW Wales)'!W78)</f>
        <v>249428.2835634565</v>
      </c>
      <c r="AE78" s="4">
        <f>IF('Tenure Split (WALES)'!$D$18="Land Registry Data",'House Prices (Mid and SW Wales)'!F78,'House Prices (Mid and SW Wales)'!X78)</f>
        <v>254797.07272872486</v>
      </c>
      <c r="AF78" s="4">
        <f>IF('Tenure Split (WALES)'!$D$18="Land Registry Data",'House Prices (Mid and SW Wales)'!G78,'House Prices (Mid and SW Wales)'!Y78)</f>
        <v>264733.94670674583</v>
      </c>
      <c r="AG78" s="4">
        <f>IF('Tenure Split (WALES)'!$D$18="Land Registry Data",'House Prices (Mid and SW Wales)'!H78,'House Prices (Mid and SW Wales)'!Z78)</f>
        <v>275715.09067052015</v>
      </c>
    </row>
    <row r="79" spans="2:33" x14ac:dyDescent="0.25">
      <c r="B79" s="20">
        <v>85</v>
      </c>
      <c r="C79" s="58">
        <v>247500</v>
      </c>
      <c r="D79" s="59">
        <f>C79*(1+'Tenure Split (Mid and SW Wales)'!C$118)</f>
        <v>254530.38236004088</v>
      </c>
      <c r="E79" s="59">
        <f>D79*(1+'Tenure Split (Mid and SW Wales)'!D$118)</f>
        <v>255097.10818989872</v>
      </c>
      <c r="F79" s="59">
        <f>E79*(1+'Tenure Split (Mid and SW Wales)'!E$118)</f>
        <v>260587.91529074134</v>
      </c>
      <c r="G79" s="59">
        <f>F79*(1+'Tenure Split (Mid and SW Wales)'!F$118)</f>
        <v>270750.62731371738</v>
      </c>
      <c r="H79" s="59">
        <f>G79*(1+'Tenure Split (Mid and SW Wales)'!G$118)</f>
        <v>281981.34273121384</v>
      </c>
      <c r="L79" s="64" t="str">
        <f t="shared" si="4"/>
        <v/>
      </c>
      <c r="M79" s="264"/>
      <c r="N79" s="14">
        <f t="shared" si="7"/>
        <v>1</v>
      </c>
      <c r="T79" s="1">
        <f t="shared" si="5"/>
        <v>85</v>
      </c>
      <c r="U79" s="4" t="str">
        <f t="shared" si="6"/>
        <v/>
      </c>
      <c r="V79" s="4" t="e">
        <f>IF($V$3=$M$3,M79,U79*(1+'Tenure Split (WALES)'!C$118))</f>
        <v>#VALUE!</v>
      </c>
      <c r="W79" s="4" t="e">
        <f>V79*(1+'Tenure Split (WALES)'!D$118)</f>
        <v>#VALUE!</v>
      </c>
      <c r="X79" s="4" t="e">
        <f>W79*(1+'Tenure Split (WALES)'!E$118)</f>
        <v>#VALUE!</v>
      </c>
      <c r="Y79" s="4" t="e">
        <f>X79*(1+'Tenure Split (WALES)'!F$118)</f>
        <v>#VALUE!</v>
      </c>
      <c r="Z79" s="4" t="e">
        <f>Y79*(1+'Tenure Split (WALES)'!G$118)</f>
        <v>#VALUE!</v>
      </c>
      <c r="AB79" s="1">
        <v>85</v>
      </c>
      <c r="AC79" s="4">
        <f>IF('Tenure Split (WALES)'!$D$18="Land Registry Data",'House Prices (Mid and SW Wales)'!D79,'House Prices (Mid and SW Wales)'!V79)</f>
        <v>254530.38236004088</v>
      </c>
      <c r="AD79" s="4">
        <f>IF('Tenure Split (WALES)'!$D$18="Land Registry Data",'House Prices (Mid and SW Wales)'!E79,'House Prices (Mid and SW Wales)'!W79)</f>
        <v>255097.10818989872</v>
      </c>
      <c r="AE79" s="4">
        <f>IF('Tenure Split (WALES)'!$D$18="Land Registry Data",'House Prices (Mid and SW Wales)'!F79,'House Prices (Mid and SW Wales)'!X79)</f>
        <v>260587.91529074134</v>
      </c>
      <c r="AF79" s="4">
        <f>IF('Tenure Split (WALES)'!$D$18="Land Registry Data",'House Prices (Mid and SW Wales)'!G79,'House Prices (Mid and SW Wales)'!Y79)</f>
        <v>270750.62731371738</v>
      </c>
      <c r="AG79" s="4">
        <f>IF('Tenure Split (WALES)'!$D$18="Land Registry Data",'House Prices (Mid and SW Wales)'!H79,'House Prices (Mid and SW Wales)'!Z79)</f>
        <v>281981.34273121384</v>
      </c>
    </row>
    <row r="80" spans="2:33" x14ac:dyDescent="0.25">
      <c r="B80" s="20">
        <v>86</v>
      </c>
      <c r="C80" s="58">
        <v>250000</v>
      </c>
      <c r="D80" s="59">
        <f>C80*(1+'Tenure Split (Mid and SW Wales)'!C$118)</f>
        <v>257101.3963232736</v>
      </c>
      <c r="E80" s="59">
        <f>D80*(1+'Tenure Split (Mid and SW Wales)'!D$118)</f>
        <v>257673.84665646334</v>
      </c>
      <c r="F80" s="59">
        <f>E80*(1+'Tenure Split (Mid and SW Wales)'!E$118)</f>
        <v>263220.11645529431</v>
      </c>
      <c r="G80" s="59">
        <f>F80*(1+'Tenure Split (Mid and SW Wales)'!F$118)</f>
        <v>273485.48213506804</v>
      </c>
      <c r="H80" s="59">
        <f>G80*(1+'Tenure Split (Mid and SW Wales)'!G$118)</f>
        <v>284829.63912243821</v>
      </c>
      <c r="L80" s="64" t="str">
        <f t="shared" si="4"/>
        <v/>
      </c>
      <c r="M80" s="264"/>
      <c r="N80" s="14">
        <f t="shared" si="7"/>
        <v>1</v>
      </c>
      <c r="T80" s="1">
        <f t="shared" si="5"/>
        <v>86</v>
      </c>
      <c r="U80" s="4" t="str">
        <f t="shared" si="6"/>
        <v/>
      </c>
      <c r="V80" s="4" t="e">
        <f>IF($V$3=$M$3,M80,U80*(1+'Tenure Split (WALES)'!C$118))</f>
        <v>#VALUE!</v>
      </c>
      <c r="W80" s="4" t="e">
        <f>V80*(1+'Tenure Split (WALES)'!D$118)</f>
        <v>#VALUE!</v>
      </c>
      <c r="X80" s="4" t="e">
        <f>W80*(1+'Tenure Split (WALES)'!E$118)</f>
        <v>#VALUE!</v>
      </c>
      <c r="Y80" s="4" t="e">
        <f>X80*(1+'Tenure Split (WALES)'!F$118)</f>
        <v>#VALUE!</v>
      </c>
      <c r="Z80" s="4" t="e">
        <f>Y80*(1+'Tenure Split (WALES)'!G$118)</f>
        <v>#VALUE!</v>
      </c>
      <c r="AB80" s="1">
        <v>86</v>
      </c>
      <c r="AC80" s="4">
        <f>IF('Tenure Split (WALES)'!$D$18="Land Registry Data",'House Prices (Mid and SW Wales)'!D80,'House Prices (Mid and SW Wales)'!V80)</f>
        <v>257101.3963232736</v>
      </c>
      <c r="AD80" s="4">
        <f>IF('Tenure Split (WALES)'!$D$18="Land Registry Data",'House Prices (Mid and SW Wales)'!E80,'House Prices (Mid and SW Wales)'!W80)</f>
        <v>257673.84665646334</v>
      </c>
      <c r="AE80" s="4">
        <f>IF('Tenure Split (WALES)'!$D$18="Land Registry Data",'House Prices (Mid and SW Wales)'!F80,'House Prices (Mid and SW Wales)'!X80)</f>
        <v>263220.11645529431</v>
      </c>
      <c r="AF80" s="4">
        <f>IF('Tenure Split (WALES)'!$D$18="Land Registry Data",'House Prices (Mid and SW Wales)'!G80,'House Prices (Mid and SW Wales)'!Y80)</f>
        <v>273485.48213506804</v>
      </c>
      <c r="AG80" s="4">
        <f>IF('Tenure Split (WALES)'!$D$18="Land Registry Data",'House Prices (Mid and SW Wales)'!H80,'House Prices (Mid and SW Wales)'!Z80)</f>
        <v>284829.63912243821</v>
      </c>
    </row>
    <row r="81" spans="2:33" x14ac:dyDescent="0.25">
      <c r="B81" s="20">
        <v>87</v>
      </c>
      <c r="C81" s="58">
        <v>260000</v>
      </c>
      <c r="D81" s="59">
        <f>C81*(1+'Tenure Split (Mid and SW Wales)'!C$118)</f>
        <v>267385.45217620453</v>
      </c>
      <c r="E81" s="59">
        <f>D81*(1+'Tenure Split (Mid and SW Wales)'!D$118)</f>
        <v>267980.80052272184</v>
      </c>
      <c r="F81" s="59">
        <f>E81*(1+'Tenure Split (Mid and SW Wales)'!E$118)</f>
        <v>273748.92111350602</v>
      </c>
      <c r="G81" s="59">
        <f>F81*(1+'Tenure Split (Mid and SW Wales)'!F$118)</f>
        <v>284424.90142047073</v>
      </c>
      <c r="H81" s="59">
        <f>G81*(1+'Tenure Split (Mid and SW Wales)'!G$118)</f>
        <v>296222.8246873357</v>
      </c>
      <c r="L81" s="64" t="str">
        <f t="shared" si="4"/>
        <v/>
      </c>
      <c r="M81" s="264"/>
      <c r="N81" s="14">
        <f t="shared" si="7"/>
        <v>1</v>
      </c>
      <c r="T81" s="1">
        <f t="shared" si="5"/>
        <v>87</v>
      </c>
      <c r="U81" s="4" t="str">
        <f t="shared" si="6"/>
        <v/>
      </c>
      <c r="V81" s="4" t="e">
        <f>IF($V$3=$M$3,M81,U81*(1+'Tenure Split (WALES)'!C$118))</f>
        <v>#VALUE!</v>
      </c>
      <c r="W81" s="4" t="e">
        <f>V81*(1+'Tenure Split (WALES)'!D$118)</f>
        <v>#VALUE!</v>
      </c>
      <c r="X81" s="4" t="e">
        <f>W81*(1+'Tenure Split (WALES)'!E$118)</f>
        <v>#VALUE!</v>
      </c>
      <c r="Y81" s="4" t="e">
        <f>X81*(1+'Tenure Split (WALES)'!F$118)</f>
        <v>#VALUE!</v>
      </c>
      <c r="Z81" s="4" t="e">
        <f>Y81*(1+'Tenure Split (WALES)'!G$118)</f>
        <v>#VALUE!</v>
      </c>
      <c r="AB81" s="1">
        <v>87</v>
      </c>
      <c r="AC81" s="4">
        <f>IF('Tenure Split (WALES)'!$D$18="Land Registry Data",'House Prices (Mid and SW Wales)'!D81,'House Prices (Mid and SW Wales)'!V81)</f>
        <v>267385.45217620453</v>
      </c>
      <c r="AD81" s="4">
        <f>IF('Tenure Split (WALES)'!$D$18="Land Registry Data",'House Prices (Mid and SW Wales)'!E81,'House Prices (Mid and SW Wales)'!W81)</f>
        <v>267980.80052272184</v>
      </c>
      <c r="AE81" s="4">
        <f>IF('Tenure Split (WALES)'!$D$18="Land Registry Data",'House Prices (Mid and SW Wales)'!F81,'House Prices (Mid and SW Wales)'!X81)</f>
        <v>273748.92111350602</v>
      </c>
      <c r="AF81" s="4">
        <f>IF('Tenure Split (WALES)'!$D$18="Land Registry Data",'House Prices (Mid and SW Wales)'!G81,'House Prices (Mid and SW Wales)'!Y81)</f>
        <v>284424.90142047073</v>
      </c>
      <c r="AG81" s="4">
        <f>IF('Tenure Split (WALES)'!$D$18="Land Registry Data",'House Prices (Mid and SW Wales)'!H81,'House Prices (Mid and SW Wales)'!Z81)</f>
        <v>296222.8246873357</v>
      </c>
    </row>
    <row r="82" spans="2:33" x14ac:dyDescent="0.25">
      <c r="B82" s="20">
        <v>88</v>
      </c>
      <c r="C82" s="58">
        <v>268000</v>
      </c>
      <c r="D82" s="59">
        <f>C82*(1+'Tenure Split (Mid and SW Wales)'!C$118)</f>
        <v>275612.69685854932</v>
      </c>
      <c r="E82" s="59">
        <f>D82*(1+'Tenure Split (Mid and SW Wales)'!D$118)</f>
        <v>276226.36361572874</v>
      </c>
      <c r="F82" s="59">
        <f>E82*(1+'Tenure Split (Mid and SW Wales)'!E$118)</f>
        <v>282171.96484007552</v>
      </c>
      <c r="G82" s="59">
        <f>F82*(1+'Tenure Split (Mid and SW Wales)'!F$118)</f>
        <v>293176.436848793</v>
      </c>
      <c r="H82" s="59">
        <f>G82*(1+'Tenure Split (Mid and SW Wales)'!G$118)</f>
        <v>305337.37313925382</v>
      </c>
      <c r="L82" s="64" t="str">
        <f t="shared" si="4"/>
        <v/>
      </c>
      <c r="M82" s="264"/>
      <c r="N82" s="14">
        <f t="shared" si="7"/>
        <v>1</v>
      </c>
      <c r="T82" s="1">
        <f t="shared" si="5"/>
        <v>88</v>
      </c>
      <c r="U82" s="4" t="str">
        <f t="shared" si="6"/>
        <v/>
      </c>
      <c r="V82" s="4" t="e">
        <f>IF($V$3=$M$3,M82,U82*(1+'Tenure Split (WALES)'!C$118))</f>
        <v>#VALUE!</v>
      </c>
      <c r="W82" s="4" t="e">
        <f>V82*(1+'Tenure Split (WALES)'!D$118)</f>
        <v>#VALUE!</v>
      </c>
      <c r="X82" s="4" t="e">
        <f>W82*(1+'Tenure Split (WALES)'!E$118)</f>
        <v>#VALUE!</v>
      </c>
      <c r="Y82" s="4" t="e">
        <f>X82*(1+'Tenure Split (WALES)'!F$118)</f>
        <v>#VALUE!</v>
      </c>
      <c r="Z82" s="4" t="e">
        <f>Y82*(1+'Tenure Split (WALES)'!G$118)</f>
        <v>#VALUE!</v>
      </c>
      <c r="AB82" s="1">
        <v>88</v>
      </c>
      <c r="AC82" s="4">
        <f>IF('Tenure Split (WALES)'!$D$18="Land Registry Data",'House Prices (Mid and SW Wales)'!D82,'House Prices (Mid and SW Wales)'!V82)</f>
        <v>275612.69685854932</v>
      </c>
      <c r="AD82" s="4">
        <f>IF('Tenure Split (WALES)'!$D$18="Land Registry Data",'House Prices (Mid and SW Wales)'!E82,'House Prices (Mid and SW Wales)'!W82)</f>
        <v>276226.36361572874</v>
      </c>
      <c r="AE82" s="4">
        <f>IF('Tenure Split (WALES)'!$D$18="Land Registry Data",'House Prices (Mid and SW Wales)'!F82,'House Prices (Mid and SW Wales)'!X82)</f>
        <v>282171.96484007552</v>
      </c>
      <c r="AF82" s="4">
        <f>IF('Tenure Split (WALES)'!$D$18="Land Registry Data",'House Prices (Mid and SW Wales)'!G82,'House Prices (Mid and SW Wales)'!Y82)</f>
        <v>293176.436848793</v>
      </c>
      <c r="AG82" s="4">
        <f>IF('Tenure Split (WALES)'!$D$18="Land Registry Data",'House Prices (Mid and SW Wales)'!H82,'House Prices (Mid and SW Wales)'!Z82)</f>
        <v>305337.37313925382</v>
      </c>
    </row>
    <row r="83" spans="2:33" x14ac:dyDescent="0.25">
      <c r="B83" s="20">
        <v>89</v>
      </c>
      <c r="C83" s="58">
        <v>275000</v>
      </c>
      <c r="D83" s="59">
        <f>C83*(1+'Tenure Split (Mid and SW Wales)'!C$118)</f>
        <v>282811.53595560096</v>
      </c>
      <c r="E83" s="59">
        <f>D83*(1+'Tenure Split (Mid and SW Wales)'!D$118)</f>
        <v>283441.2313221097</v>
      </c>
      <c r="F83" s="59">
        <f>E83*(1+'Tenure Split (Mid and SW Wales)'!E$118)</f>
        <v>289542.12810082373</v>
      </c>
      <c r="G83" s="59">
        <f>F83*(1+'Tenure Split (Mid and SW Wales)'!F$118)</f>
        <v>300834.03034857486</v>
      </c>
      <c r="H83" s="59">
        <f>G83*(1+'Tenure Split (Mid and SW Wales)'!G$118)</f>
        <v>313312.60303468199</v>
      </c>
      <c r="L83" s="64" t="str">
        <f t="shared" si="4"/>
        <v/>
      </c>
      <c r="M83" s="264"/>
      <c r="N83" s="14">
        <f t="shared" si="7"/>
        <v>1</v>
      </c>
      <c r="T83" s="1">
        <f t="shared" si="5"/>
        <v>89</v>
      </c>
      <c r="U83" s="4" t="str">
        <f t="shared" si="6"/>
        <v/>
      </c>
      <c r="V83" s="4" t="e">
        <f>IF($V$3=$M$3,M83,U83*(1+'Tenure Split (WALES)'!C$118))</f>
        <v>#VALUE!</v>
      </c>
      <c r="W83" s="4" t="e">
        <f>V83*(1+'Tenure Split (WALES)'!D$118)</f>
        <v>#VALUE!</v>
      </c>
      <c r="X83" s="4" t="e">
        <f>W83*(1+'Tenure Split (WALES)'!E$118)</f>
        <v>#VALUE!</v>
      </c>
      <c r="Y83" s="4" t="e">
        <f>X83*(1+'Tenure Split (WALES)'!F$118)</f>
        <v>#VALUE!</v>
      </c>
      <c r="Z83" s="4" t="e">
        <f>Y83*(1+'Tenure Split (WALES)'!G$118)</f>
        <v>#VALUE!</v>
      </c>
      <c r="AB83" s="1">
        <v>89</v>
      </c>
      <c r="AC83" s="4">
        <f>IF('Tenure Split (WALES)'!$D$18="Land Registry Data",'House Prices (Mid and SW Wales)'!D83,'House Prices (Mid and SW Wales)'!V83)</f>
        <v>282811.53595560096</v>
      </c>
      <c r="AD83" s="4">
        <f>IF('Tenure Split (WALES)'!$D$18="Land Registry Data",'House Prices (Mid and SW Wales)'!E83,'House Prices (Mid and SW Wales)'!W83)</f>
        <v>283441.2313221097</v>
      </c>
      <c r="AE83" s="4">
        <f>IF('Tenure Split (WALES)'!$D$18="Land Registry Data",'House Prices (Mid and SW Wales)'!F83,'House Prices (Mid and SW Wales)'!X83)</f>
        <v>289542.12810082373</v>
      </c>
      <c r="AF83" s="4">
        <f>IF('Tenure Split (WALES)'!$D$18="Land Registry Data",'House Prices (Mid and SW Wales)'!G83,'House Prices (Mid and SW Wales)'!Y83)</f>
        <v>300834.03034857486</v>
      </c>
      <c r="AG83" s="4">
        <f>IF('Tenure Split (WALES)'!$D$18="Land Registry Data",'House Prices (Mid and SW Wales)'!H83,'House Prices (Mid and SW Wales)'!Z83)</f>
        <v>313312.60303468199</v>
      </c>
    </row>
    <row r="84" spans="2:33" x14ac:dyDescent="0.25">
      <c r="B84" s="23">
        <v>90</v>
      </c>
      <c r="C84" s="61">
        <v>280000</v>
      </c>
      <c r="D84" s="59">
        <f>C84*(1+'Tenure Split (Mid and SW Wales)'!C$118)</f>
        <v>287953.56388206646</v>
      </c>
      <c r="E84" s="59">
        <f>D84*(1+'Tenure Split (Mid and SW Wales)'!D$118)</f>
        <v>288594.70825523895</v>
      </c>
      <c r="F84" s="59">
        <f>E84*(1+'Tenure Split (Mid and SW Wales)'!E$118)</f>
        <v>294806.53042992961</v>
      </c>
      <c r="G84" s="59">
        <f>F84*(1+'Tenure Split (Mid and SW Wales)'!F$118)</f>
        <v>306303.73999127623</v>
      </c>
      <c r="H84" s="59">
        <f>G84*(1+'Tenure Split (Mid and SW Wales)'!G$118)</f>
        <v>319009.19581713079</v>
      </c>
      <c r="L84" s="65" t="str">
        <f t="shared" si="4"/>
        <v/>
      </c>
      <c r="M84" s="265"/>
      <c r="N84" s="14">
        <f t="shared" si="7"/>
        <v>1</v>
      </c>
      <c r="T84" s="1">
        <f t="shared" si="5"/>
        <v>90</v>
      </c>
      <c r="U84" s="4" t="str">
        <f t="shared" si="6"/>
        <v/>
      </c>
      <c r="V84" s="4" t="e">
        <f>IF($V$3=$M$3,M84,U84*(1+'Tenure Split (WALES)'!C$118))</f>
        <v>#VALUE!</v>
      </c>
      <c r="W84" s="4" t="e">
        <f>V84*(1+'Tenure Split (WALES)'!D$118)</f>
        <v>#VALUE!</v>
      </c>
      <c r="X84" s="4" t="e">
        <f>W84*(1+'Tenure Split (WALES)'!E$118)</f>
        <v>#VALUE!</v>
      </c>
      <c r="Y84" s="4" t="e">
        <f>X84*(1+'Tenure Split (WALES)'!F$118)</f>
        <v>#VALUE!</v>
      </c>
      <c r="Z84" s="4" t="e">
        <f>Y84*(1+'Tenure Split (WALES)'!G$118)</f>
        <v>#VALUE!</v>
      </c>
      <c r="AB84" s="1">
        <v>90</v>
      </c>
      <c r="AC84" s="4">
        <f>IF('Tenure Split (WALES)'!$D$18="Land Registry Data",'House Prices (Mid and SW Wales)'!D84,'House Prices (Mid and SW Wales)'!V84)</f>
        <v>287953.56388206646</v>
      </c>
      <c r="AD84" s="4">
        <f>IF('Tenure Split (WALES)'!$D$18="Land Registry Data",'House Prices (Mid and SW Wales)'!E84,'House Prices (Mid and SW Wales)'!W84)</f>
        <v>288594.70825523895</v>
      </c>
      <c r="AE84" s="4">
        <f>IF('Tenure Split (WALES)'!$D$18="Land Registry Data",'House Prices (Mid and SW Wales)'!F84,'House Prices (Mid and SW Wales)'!X84)</f>
        <v>294806.53042992961</v>
      </c>
      <c r="AF84" s="4">
        <f>IF('Tenure Split (WALES)'!$D$18="Land Registry Data",'House Prices (Mid and SW Wales)'!G84,'House Prices (Mid and SW Wales)'!Y84)</f>
        <v>306303.73999127623</v>
      </c>
      <c r="AG84" s="4">
        <f>IF('Tenure Split (WALES)'!$D$18="Land Registry Data",'House Prices (Mid and SW Wales)'!H84,'House Prices (Mid and SW Wales)'!Z84)</f>
        <v>319009.19581713079</v>
      </c>
    </row>
    <row r="85" spans="2:33" x14ac:dyDescent="0.25">
      <c r="N85" s="14">
        <f>IF(SUM(N4:N84)&gt;0,1,0)</f>
        <v>1</v>
      </c>
    </row>
  </sheetData>
  <sheetProtection sheet="1" objects="1" scenarios="1"/>
  <mergeCells count="3">
    <mergeCell ref="B2:H2"/>
    <mergeCell ref="J2:M2"/>
    <mergeCell ref="J9:J10"/>
  </mergeCells>
  <dataValidations count="2">
    <dataValidation type="list" allowBlank="1" showInputMessage="1" showErrorMessage="1" sqref="K4">
      <formula1>"2017,2018"</formula1>
    </dataValidation>
    <dataValidation type="decimal" operator="greaterThan" allowBlank="1" showInputMessage="1" showErrorMessage="1" sqref="M4:M84">
      <formula1>0</formula1>
    </dataValidation>
  </dataValidations>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85"/>
  <sheetViews>
    <sheetView showGridLines="0" workbookViewId="0"/>
  </sheetViews>
  <sheetFormatPr defaultColWidth="9.140625" defaultRowHeight="15" x14ac:dyDescent="0.25"/>
  <cols>
    <col min="1" max="1" width="2.140625" style="1" customWidth="1"/>
    <col min="2" max="2" width="10.140625" style="1" bestFit="1" customWidth="1"/>
    <col min="3" max="3" width="9.140625" style="1"/>
    <col min="4" max="8" width="10.140625" style="1" bestFit="1" customWidth="1"/>
    <col min="9" max="9" width="9.140625" style="1"/>
    <col min="10" max="10" width="53.85546875" style="1" customWidth="1"/>
    <col min="11" max="11" width="9.140625" style="1"/>
    <col min="12" max="12" width="10.140625" style="1" customWidth="1"/>
    <col min="13" max="13" width="9.140625" style="1"/>
    <col min="14" max="14" width="9.140625" style="1" hidden="1" customWidth="1"/>
    <col min="15" max="19" width="9.140625" style="1"/>
    <col min="20" max="20" width="9.140625" style="1" hidden="1" customWidth="1"/>
    <col min="21" max="26" width="10.140625" style="1" hidden="1" customWidth="1"/>
    <col min="27" max="28" width="9.140625" style="1" customWidth="1"/>
    <col min="29" max="29" width="10.140625" style="1" customWidth="1"/>
    <col min="30" max="33" width="9.140625" style="1" customWidth="1"/>
    <col min="34" max="16384" width="9.140625" style="1"/>
  </cols>
  <sheetData>
    <row r="1" spans="2:33" ht="9.75" customHeight="1" x14ac:dyDescent="0.25"/>
    <row r="2" spans="2:33" ht="26.25" customHeight="1" x14ac:dyDescent="0.25">
      <c r="B2" s="430" t="s">
        <v>144</v>
      </c>
      <c r="C2" s="431"/>
      <c r="D2" s="431"/>
      <c r="E2" s="431"/>
      <c r="F2" s="431"/>
      <c r="G2" s="431"/>
      <c r="H2" s="432"/>
      <c r="J2" s="433" t="s">
        <v>86</v>
      </c>
      <c r="K2" s="434"/>
      <c r="L2" s="434"/>
      <c r="M2" s="435"/>
      <c r="N2" s="67"/>
      <c r="U2" s="1" t="s">
        <v>88</v>
      </c>
      <c r="AB2" s="1" t="s">
        <v>89</v>
      </c>
    </row>
    <row r="3" spans="2:33" x14ac:dyDescent="0.25">
      <c r="B3" s="34" t="s">
        <v>46</v>
      </c>
      <c r="C3" s="35">
        <v>2017</v>
      </c>
      <c r="D3" s="35">
        <v>2018</v>
      </c>
      <c r="E3" s="35">
        <v>2019</v>
      </c>
      <c r="F3" s="35">
        <v>2020</v>
      </c>
      <c r="G3" s="35">
        <v>2021</v>
      </c>
      <c r="H3" s="57">
        <v>2022</v>
      </c>
      <c r="L3" s="34" t="s">
        <v>46</v>
      </c>
      <c r="M3" s="66">
        <f>K4</f>
        <v>0</v>
      </c>
      <c r="N3" s="68" t="s">
        <v>80</v>
      </c>
      <c r="U3" s="1">
        <v>2017</v>
      </c>
      <c r="V3" s="1">
        <v>2018</v>
      </c>
      <c r="W3" s="1">
        <v>2019</v>
      </c>
      <c r="X3" s="1">
        <v>2020</v>
      </c>
      <c r="Y3" s="1">
        <v>2021</v>
      </c>
      <c r="Z3" s="1">
        <v>2022</v>
      </c>
      <c r="AC3" s="1" t="s">
        <v>9</v>
      </c>
      <c r="AD3" s="1" t="s">
        <v>10</v>
      </c>
      <c r="AE3" s="1" t="s">
        <v>11</v>
      </c>
      <c r="AF3" s="1" t="s">
        <v>12</v>
      </c>
      <c r="AG3" s="1" t="s">
        <v>13</v>
      </c>
    </row>
    <row r="4" spans="2:33" x14ac:dyDescent="0.25">
      <c r="B4" s="20">
        <v>10</v>
      </c>
      <c r="C4" s="58">
        <v>72000</v>
      </c>
      <c r="D4" s="59">
        <f>C4*(1+'Tenure Split (SE Wales)'!C$118)</f>
        <v>74045.202141102796</v>
      </c>
      <c r="E4" s="59">
        <f>D4*(1+'Tenure Split (SE Wales)'!D$118)</f>
        <v>74210.067837061433</v>
      </c>
      <c r="F4" s="59">
        <f>E4*(1+'Tenure Split (SE Wales)'!E$118)</f>
        <v>75807.393539124736</v>
      </c>
      <c r="G4" s="59">
        <f>F4*(1+'Tenure Split (SE Wales)'!F$118)</f>
        <v>78763.818854899582</v>
      </c>
      <c r="H4" s="60">
        <f>G4*(1+'Tenure Split (SE Wales)'!G$118)</f>
        <v>82030.936067262184</v>
      </c>
      <c r="I4" s="4"/>
      <c r="J4" s="69" t="str">
        <f>IF('Tenure Split (WALES)'!D18="Other","Choose what year of data you would like to enter:","")</f>
        <v/>
      </c>
      <c r="K4" s="263"/>
      <c r="L4" s="64" t="str">
        <f t="shared" ref="L4:L67" si="0">IF(ISBLANK($K$4),"",B4)</f>
        <v/>
      </c>
      <c r="M4" s="264"/>
      <c r="N4" s="14">
        <f>IF(ISBLANK(M4),1,0)</f>
        <v>1</v>
      </c>
      <c r="O4" s="11" t="str">
        <f>IF(J4="","",IF(N85=1,"&lt;&lt; Enter each percentile data here.",""))</f>
        <v/>
      </c>
      <c r="T4" s="1">
        <f t="shared" ref="T4:T67" si="1">B4</f>
        <v>10</v>
      </c>
      <c r="U4" s="4" t="str">
        <f t="shared" ref="U4:U67" si="2">IF($M$3=$U$3,M4,"")</f>
        <v/>
      </c>
      <c r="V4" s="4" t="e">
        <f>IF($V$3=$M$3,M4,U4*(1+'Tenure Split (WALES)'!C$118))</f>
        <v>#VALUE!</v>
      </c>
      <c r="W4" s="4" t="e">
        <f>V4*(1+'Tenure Split (WALES)'!D$118)</f>
        <v>#VALUE!</v>
      </c>
      <c r="X4" s="4" t="e">
        <f>W4*(1+'Tenure Split (WALES)'!E$118)</f>
        <v>#VALUE!</v>
      </c>
      <c r="Y4" s="4" t="e">
        <f>X4*(1+'Tenure Split (WALES)'!F$118)</f>
        <v>#VALUE!</v>
      </c>
      <c r="Z4" s="4" t="e">
        <f>Y4*(1+'Tenure Split (WALES)'!G$118)</f>
        <v>#VALUE!</v>
      </c>
      <c r="AB4" s="1">
        <v>10</v>
      </c>
      <c r="AC4" s="4">
        <f>IF('Tenure Split (WALES)'!$D$18="Land Registry Data",'House Prices (SE Wales)'!D4,'House Prices (SE Wales)'!V4)</f>
        <v>74045.202141102796</v>
      </c>
      <c r="AD4" s="4">
        <f>IF('Tenure Split (WALES)'!$D$18="Land Registry Data",'House Prices (SE Wales)'!E4,'House Prices (SE Wales)'!W4)</f>
        <v>74210.067837061433</v>
      </c>
      <c r="AE4" s="4">
        <f>IF('Tenure Split (WALES)'!$D$18="Land Registry Data",'House Prices (SE Wales)'!F4,'House Prices (SE Wales)'!X4)</f>
        <v>75807.393539124736</v>
      </c>
      <c r="AF4" s="4">
        <f>IF('Tenure Split (WALES)'!$D$18="Land Registry Data",'House Prices (SE Wales)'!G4,'House Prices (SE Wales)'!Y4)</f>
        <v>78763.818854899582</v>
      </c>
      <c r="AG4" s="4">
        <f>IF('Tenure Split (WALES)'!$D$18="Land Registry Data",'House Prices (SE Wales)'!H4,'House Prices (SE Wales)'!Z4)</f>
        <v>82030.936067262184</v>
      </c>
    </row>
    <row r="5" spans="2:33" x14ac:dyDescent="0.25">
      <c r="B5" s="20">
        <v>11</v>
      </c>
      <c r="C5" s="58">
        <v>75000</v>
      </c>
      <c r="D5" s="59">
        <f>C5*(1+'Tenure Split (SE Wales)'!C$118)</f>
        <v>77130.418896982083</v>
      </c>
      <c r="E5" s="59">
        <f>D5*(1+'Tenure Split (SE Wales)'!D$118)</f>
        <v>77302.153996939</v>
      </c>
      <c r="F5" s="59">
        <f>E5*(1+'Tenure Split (SE Wales)'!E$118)</f>
        <v>78966.034936588287</v>
      </c>
      <c r="G5" s="59">
        <f>F5*(1+'Tenure Split (SE Wales)'!F$118)</f>
        <v>82045.644640520419</v>
      </c>
      <c r="H5" s="60">
        <f>G5*(1+'Tenure Split (SE Wales)'!G$118)</f>
        <v>85448.891736731457</v>
      </c>
      <c r="J5" s="70" t="str">
        <f>IF(J4="","","You only need to enter one year of data (either 2017 or 2018)")</f>
        <v/>
      </c>
      <c r="L5" s="64" t="str">
        <f t="shared" si="0"/>
        <v/>
      </c>
      <c r="M5" s="264"/>
      <c r="N5" s="14">
        <f t="shared" ref="N5:N68" si="3">IF(ISBLANK(M5),1,0)</f>
        <v>1</v>
      </c>
      <c r="T5" s="1">
        <f t="shared" si="1"/>
        <v>11</v>
      </c>
      <c r="U5" s="4" t="str">
        <f t="shared" si="2"/>
        <v/>
      </c>
      <c r="V5" s="4" t="e">
        <f>IF($V$3=$M$3,M5,U5*(1+'Tenure Split (WALES)'!C$118))</f>
        <v>#VALUE!</v>
      </c>
      <c r="W5" s="4" t="e">
        <f>V5*(1+'Tenure Split (WALES)'!D$118)</f>
        <v>#VALUE!</v>
      </c>
      <c r="X5" s="4" t="e">
        <f>W5*(1+'Tenure Split (WALES)'!E$118)</f>
        <v>#VALUE!</v>
      </c>
      <c r="Y5" s="4" t="e">
        <f>X5*(1+'Tenure Split (WALES)'!F$118)</f>
        <v>#VALUE!</v>
      </c>
      <c r="Z5" s="4" t="e">
        <f>Y5*(1+'Tenure Split (WALES)'!G$118)</f>
        <v>#VALUE!</v>
      </c>
      <c r="AB5" s="1">
        <v>11</v>
      </c>
      <c r="AC5" s="4">
        <f>IF('Tenure Split (WALES)'!$D$18="Land Registry Data",'House Prices (SE Wales)'!D5,'House Prices (SE Wales)'!V5)</f>
        <v>77130.418896982083</v>
      </c>
      <c r="AD5" s="4">
        <f>IF('Tenure Split (WALES)'!$D$18="Land Registry Data",'House Prices (SE Wales)'!E5,'House Prices (SE Wales)'!W5)</f>
        <v>77302.153996939</v>
      </c>
      <c r="AE5" s="4">
        <f>IF('Tenure Split (WALES)'!$D$18="Land Registry Data",'House Prices (SE Wales)'!F5,'House Prices (SE Wales)'!X5)</f>
        <v>78966.034936588287</v>
      </c>
      <c r="AF5" s="4">
        <f>IF('Tenure Split (WALES)'!$D$18="Land Registry Data",'House Prices (SE Wales)'!G5,'House Prices (SE Wales)'!Y5)</f>
        <v>82045.644640520419</v>
      </c>
      <c r="AG5" s="4">
        <f>IF('Tenure Split (WALES)'!$D$18="Land Registry Data",'House Prices (SE Wales)'!H5,'House Prices (SE Wales)'!Z5)</f>
        <v>85448.891736731457</v>
      </c>
    </row>
    <row r="6" spans="2:33" x14ac:dyDescent="0.25">
      <c r="B6" s="20">
        <v>12</v>
      </c>
      <c r="C6" s="58">
        <v>77500</v>
      </c>
      <c r="D6" s="59">
        <f>C6*(1+'Tenure Split (SE Wales)'!C$118)</f>
        <v>79701.432860214816</v>
      </c>
      <c r="E6" s="59">
        <f>D6*(1+'Tenure Split (SE Wales)'!D$118)</f>
        <v>79878.892463503638</v>
      </c>
      <c r="F6" s="59">
        <f>E6*(1+'Tenure Split (SE Wales)'!E$118)</f>
        <v>81598.236101141229</v>
      </c>
      <c r="G6" s="59">
        <f>F6*(1+'Tenure Split (SE Wales)'!F$118)</f>
        <v>84780.499461871092</v>
      </c>
      <c r="H6" s="60">
        <f>G6*(1+'Tenure Split (SE Wales)'!G$118)</f>
        <v>88297.188127955829</v>
      </c>
      <c r="L6" s="64" t="str">
        <f t="shared" si="0"/>
        <v/>
      </c>
      <c r="M6" s="264"/>
      <c r="N6" s="14">
        <f t="shared" si="3"/>
        <v>1</v>
      </c>
      <c r="T6" s="1">
        <f t="shared" si="1"/>
        <v>12</v>
      </c>
      <c r="U6" s="4" t="str">
        <f t="shared" si="2"/>
        <v/>
      </c>
      <c r="V6" s="4" t="e">
        <f>IF($V$3=$M$3,M6,U6*(1+'Tenure Split (WALES)'!C$118))</f>
        <v>#VALUE!</v>
      </c>
      <c r="W6" s="4" t="e">
        <f>V6*(1+'Tenure Split (WALES)'!D$118)</f>
        <v>#VALUE!</v>
      </c>
      <c r="X6" s="4" t="e">
        <f>W6*(1+'Tenure Split (WALES)'!E$118)</f>
        <v>#VALUE!</v>
      </c>
      <c r="Y6" s="4" t="e">
        <f>X6*(1+'Tenure Split (WALES)'!F$118)</f>
        <v>#VALUE!</v>
      </c>
      <c r="Z6" s="4" t="e">
        <f>Y6*(1+'Tenure Split (WALES)'!G$118)</f>
        <v>#VALUE!</v>
      </c>
      <c r="AB6" s="1">
        <v>12</v>
      </c>
      <c r="AC6" s="4">
        <f>IF('Tenure Split (WALES)'!$D$18="Land Registry Data",'House Prices (SE Wales)'!D6,'House Prices (SE Wales)'!V6)</f>
        <v>79701.432860214816</v>
      </c>
      <c r="AD6" s="4">
        <f>IF('Tenure Split (WALES)'!$D$18="Land Registry Data",'House Prices (SE Wales)'!E6,'House Prices (SE Wales)'!W6)</f>
        <v>79878.892463503638</v>
      </c>
      <c r="AE6" s="4">
        <f>IF('Tenure Split (WALES)'!$D$18="Land Registry Data",'House Prices (SE Wales)'!F6,'House Prices (SE Wales)'!X6)</f>
        <v>81598.236101141229</v>
      </c>
      <c r="AF6" s="4">
        <f>IF('Tenure Split (WALES)'!$D$18="Land Registry Data",'House Prices (SE Wales)'!G6,'House Prices (SE Wales)'!Y6)</f>
        <v>84780.499461871092</v>
      </c>
      <c r="AG6" s="4">
        <f>IF('Tenure Split (WALES)'!$D$18="Land Registry Data",'House Prices (SE Wales)'!H6,'House Prices (SE Wales)'!Z6)</f>
        <v>88297.188127955829</v>
      </c>
    </row>
    <row r="7" spans="2:33" x14ac:dyDescent="0.25">
      <c r="B7" s="20">
        <v>13</v>
      </c>
      <c r="C7" s="58">
        <v>80000</v>
      </c>
      <c r="D7" s="59">
        <f>C7*(1+'Tenure Split (SE Wales)'!C$118)</f>
        <v>82272.44682344755</v>
      </c>
      <c r="E7" s="59">
        <f>D7*(1+'Tenure Split (SE Wales)'!D$118)</f>
        <v>82455.630930068262</v>
      </c>
      <c r="F7" s="59">
        <f>E7*(1+'Tenure Split (SE Wales)'!E$118)</f>
        <v>84230.437265694156</v>
      </c>
      <c r="G7" s="59">
        <f>F7*(1+'Tenure Split (SE Wales)'!F$118)</f>
        <v>87515.354283221764</v>
      </c>
      <c r="H7" s="60">
        <f>G7*(1+'Tenure Split (SE Wales)'!G$118)</f>
        <v>91145.484519180216</v>
      </c>
      <c r="J7" s="11" t="str">
        <f>IF(J4="","",IF(N85=1,"User input not yet complete",IF(N85=0,"User input complete","")))</f>
        <v/>
      </c>
      <c r="L7" s="64" t="str">
        <f t="shared" si="0"/>
        <v/>
      </c>
      <c r="M7" s="264"/>
      <c r="N7" s="14">
        <f t="shared" si="3"/>
        <v>1</v>
      </c>
      <c r="T7" s="1">
        <f t="shared" si="1"/>
        <v>13</v>
      </c>
      <c r="U7" s="4" t="str">
        <f t="shared" si="2"/>
        <v/>
      </c>
      <c r="V7" s="4" t="e">
        <f>IF($V$3=$M$3,M7,U7*(1+'Tenure Split (WALES)'!C$118))</f>
        <v>#VALUE!</v>
      </c>
      <c r="W7" s="4" t="e">
        <f>V7*(1+'Tenure Split (WALES)'!D$118)</f>
        <v>#VALUE!</v>
      </c>
      <c r="X7" s="4" t="e">
        <f>W7*(1+'Tenure Split (WALES)'!E$118)</f>
        <v>#VALUE!</v>
      </c>
      <c r="Y7" s="4" t="e">
        <f>X7*(1+'Tenure Split (WALES)'!F$118)</f>
        <v>#VALUE!</v>
      </c>
      <c r="Z7" s="4" t="e">
        <f>Y7*(1+'Tenure Split (WALES)'!G$118)</f>
        <v>#VALUE!</v>
      </c>
      <c r="AB7" s="1">
        <v>13</v>
      </c>
      <c r="AC7" s="4">
        <f>IF('Tenure Split (WALES)'!$D$18="Land Registry Data",'House Prices (SE Wales)'!D7,'House Prices (SE Wales)'!V7)</f>
        <v>82272.44682344755</v>
      </c>
      <c r="AD7" s="4">
        <f>IF('Tenure Split (WALES)'!$D$18="Land Registry Data",'House Prices (SE Wales)'!E7,'House Prices (SE Wales)'!W7)</f>
        <v>82455.630930068262</v>
      </c>
      <c r="AE7" s="4">
        <f>IF('Tenure Split (WALES)'!$D$18="Land Registry Data",'House Prices (SE Wales)'!F7,'House Prices (SE Wales)'!X7)</f>
        <v>84230.437265694156</v>
      </c>
      <c r="AF7" s="4">
        <f>IF('Tenure Split (WALES)'!$D$18="Land Registry Data",'House Prices (SE Wales)'!G7,'House Prices (SE Wales)'!Y7)</f>
        <v>87515.354283221764</v>
      </c>
      <c r="AG7" s="4">
        <f>IF('Tenure Split (WALES)'!$D$18="Land Registry Data",'House Prices (SE Wales)'!H7,'House Prices (SE Wales)'!Z7)</f>
        <v>91145.484519180216</v>
      </c>
    </row>
    <row r="8" spans="2:33" x14ac:dyDescent="0.25">
      <c r="B8" s="20">
        <v>14</v>
      </c>
      <c r="C8" s="58">
        <v>82000</v>
      </c>
      <c r="D8" s="59">
        <f>C8*(1+'Tenure Split (SE Wales)'!C$118)</f>
        <v>84329.257994033745</v>
      </c>
      <c r="E8" s="59">
        <f>D8*(1+'Tenure Split (SE Wales)'!D$118)</f>
        <v>84517.021703319973</v>
      </c>
      <c r="F8" s="59">
        <f>E8*(1+'Tenure Split (SE Wales)'!E$118)</f>
        <v>86336.198197336518</v>
      </c>
      <c r="G8" s="59">
        <f>F8*(1+'Tenure Split (SE Wales)'!F$118)</f>
        <v>89703.238140302317</v>
      </c>
      <c r="H8" s="60">
        <f>G8*(1+'Tenure Split (SE Wales)'!G$118)</f>
        <v>93424.121632159731</v>
      </c>
      <c r="L8" s="64" t="str">
        <f t="shared" si="0"/>
        <v/>
      </c>
      <c r="M8" s="264"/>
      <c r="N8" s="14">
        <f t="shared" si="3"/>
        <v>1</v>
      </c>
      <c r="T8" s="1">
        <f t="shared" si="1"/>
        <v>14</v>
      </c>
      <c r="U8" s="4" t="str">
        <f t="shared" si="2"/>
        <v/>
      </c>
      <c r="V8" s="4" t="e">
        <f>IF($V$3=$M$3,M8,U8*(1+'Tenure Split (WALES)'!C$118))</f>
        <v>#VALUE!</v>
      </c>
      <c r="W8" s="4" t="e">
        <f>V8*(1+'Tenure Split (WALES)'!D$118)</f>
        <v>#VALUE!</v>
      </c>
      <c r="X8" s="4" t="e">
        <f>W8*(1+'Tenure Split (WALES)'!E$118)</f>
        <v>#VALUE!</v>
      </c>
      <c r="Y8" s="4" t="e">
        <f>X8*(1+'Tenure Split (WALES)'!F$118)</f>
        <v>#VALUE!</v>
      </c>
      <c r="Z8" s="4" t="e">
        <f>Y8*(1+'Tenure Split (WALES)'!G$118)</f>
        <v>#VALUE!</v>
      </c>
      <c r="AB8" s="1">
        <v>14</v>
      </c>
      <c r="AC8" s="4">
        <f>IF('Tenure Split (WALES)'!$D$18="Land Registry Data",'House Prices (SE Wales)'!D8,'House Prices (SE Wales)'!V8)</f>
        <v>84329.257994033745</v>
      </c>
      <c r="AD8" s="4">
        <f>IF('Tenure Split (WALES)'!$D$18="Land Registry Data",'House Prices (SE Wales)'!E8,'House Prices (SE Wales)'!W8)</f>
        <v>84517.021703319973</v>
      </c>
      <c r="AE8" s="4">
        <f>IF('Tenure Split (WALES)'!$D$18="Land Registry Data",'House Prices (SE Wales)'!F8,'House Prices (SE Wales)'!X8)</f>
        <v>86336.198197336518</v>
      </c>
      <c r="AF8" s="4">
        <f>IF('Tenure Split (WALES)'!$D$18="Land Registry Data",'House Prices (SE Wales)'!G8,'House Prices (SE Wales)'!Y8)</f>
        <v>89703.238140302317</v>
      </c>
      <c r="AG8" s="4">
        <f>IF('Tenure Split (WALES)'!$D$18="Land Registry Data",'House Prices (SE Wales)'!H8,'House Prices (SE Wales)'!Z8)</f>
        <v>93424.121632159731</v>
      </c>
    </row>
    <row r="9" spans="2:33" x14ac:dyDescent="0.25">
      <c r="B9" s="20">
        <v>15</v>
      </c>
      <c r="C9" s="58">
        <v>84000</v>
      </c>
      <c r="D9" s="59">
        <f>C9*(1+'Tenure Split (SE Wales)'!C$118)</f>
        <v>86386.069164619927</v>
      </c>
      <c r="E9" s="59">
        <f>D9*(1+'Tenure Split (SE Wales)'!D$118)</f>
        <v>86578.412476571684</v>
      </c>
      <c r="F9" s="59">
        <f>E9*(1+'Tenure Split (SE Wales)'!E$118)</f>
        <v>88441.95912897888</v>
      </c>
      <c r="G9" s="59">
        <f>F9*(1+'Tenure Split (SE Wales)'!F$118)</f>
        <v>91891.12199738287</v>
      </c>
      <c r="H9" s="60">
        <f>G9*(1+'Tenure Split (SE Wales)'!G$118)</f>
        <v>95702.758745139232</v>
      </c>
      <c r="J9" s="436" t="str">
        <f>IF(J4="","If you would like to use your own house price distribution data, please change your dropdown selection.","")</f>
        <v>If you would like to use your own house price distribution data, please change your dropdown selection.</v>
      </c>
      <c r="L9" s="64" t="str">
        <f t="shared" si="0"/>
        <v/>
      </c>
      <c r="M9" s="264"/>
      <c r="N9" s="14">
        <f t="shared" si="3"/>
        <v>1</v>
      </c>
      <c r="T9" s="1">
        <f t="shared" si="1"/>
        <v>15</v>
      </c>
      <c r="U9" s="4" t="str">
        <f t="shared" si="2"/>
        <v/>
      </c>
      <c r="V9" s="4" t="e">
        <f>IF($V$3=$M$3,M9,U9*(1+'Tenure Split (WALES)'!C$118))</f>
        <v>#VALUE!</v>
      </c>
      <c r="W9" s="4" t="e">
        <f>V9*(1+'Tenure Split (WALES)'!D$118)</f>
        <v>#VALUE!</v>
      </c>
      <c r="X9" s="4" t="e">
        <f>W9*(1+'Tenure Split (WALES)'!E$118)</f>
        <v>#VALUE!</v>
      </c>
      <c r="Y9" s="4" t="e">
        <f>X9*(1+'Tenure Split (WALES)'!F$118)</f>
        <v>#VALUE!</v>
      </c>
      <c r="Z9" s="4" t="e">
        <f>Y9*(1+'Tenure Split (WALES)'!G$118)</f>
        <v>#VALUE!</v>
      </c>
      <c r="AB9" s="1">
        <v>15</v>
      </c>
      <c r="AC9" s="4">
        <f>IF('Tenure Split (WALES)'!$D$18="Land Registry Data",'House Prices (SE Wales)'!D9,'House Prices (SE Wales)'!V9)</f>
        <v>86386.069164619927</v>
      </c>
      <c r="AD9" s="4">
        <f>IF('Tenure Split (WALES)'!$D$18="Land Registry Data",'House Prices (SE Wales)'!E9,'House Prices (SE Wales)'!W9)</f>
        <v>86578.412476571684</v>
      </c>
      <c r="AE9" s="4">
        <f>IF('Tenure Split (WALES)'!$D$18="Land Registry Data",'House Prices (SE Wales)'!F9,'House Prices (SE Wales)'!X9)</f>
        <v>88441.95912897888</v>
      </c>
      <c r="AF9" s="4">
        <f>IF('Tenure Split (WALES)'!$D$18="Land Registry Data",'House Prices (SE Wales)'!G9,'House Prices (SE Wales)'!Y9)</f>
        <v>91891.12199738287</v>
      </c>
      <c r="AG9" s="4">
        <f>IF('Tenure Split (WALES)'!$D$18="Land Registry Data",'House Prices (SE Wales)'!H9,'House Prices (SE Wales)'!Z9)</f>
        <v>95702.758745139232</v>
      </c>
    </row>
    <row r="10" spans="2:33" x14ac:dyDescent="0.25">
      <c r="B10" s="20">
        <v>16</v>
      </c>
      <c r="C10" s="58">
        <v>85536.000000000029</v>
      </c>
      <c r="D10" s="59">
        <f>C10*(1+'Tenure Split (SE Wales)'!C$118)</f>
        <v>87965.700143630151</v>
      </c>
      <c r="E10" s="59">
        <f>D10*(1+'Tenure Split (SE Wales)'!D$118)</f>
        <v>88161.560590429013</v>
      </c>
      <c r="F10" s="59">
        <f>E10*(1+'Tenure Split (SE Wales)'!E$118)</f>
        <v>90059.183524480221</v>
      </c>
      <c r="G10" s="59">
        <f>F10*(1+'Tenure Split (SE Wales)'!F$118)</f>
        <v>93571.41679962074</v>
      </c>
      <c r="H10" s="60">
        <f>G10*(1+'Tenure Split (SE Wales)'!G$118)</f>
        <v>97452.752047907517</v>
      </c>
      <c r="J10" s="436"/>
      <c r="L10" s="64" t="str">
        <f t="shared" si="0"/>
        <v/>
      </c>
      <c r="M10" s="264"/>
      <c r="N10" s="14">
        <f t="shared" si="3"/>
        <v>1</v>
      </c>
      <c r="T10" s="1">
        <f t="shared" si="1"/>
        <v>16</v>
      </c>
      <c r="U10" s="4" t="str">
        <f t="shared" si="2"/>
        <v/>
      </c>
      <c r="V10" s="4" t="e">
        <f>IF($V$3=$M$3,M10,U10*(1+'Tenure Split (WALES)'!C$118))</f>
        <v>#VALUE!</v>
      </c>
      <c r="W10" s="4" t="e">
        <f>V10*(1+'Tenure Split (WALES)'!D$118)</f>
        <v>#VALUE!</v>
      </c>
      <c r="X10" s="4" t="e">
        <f>W10*(1+'Tenure Split (WALES)'!E$118)</f>
        <v>#VALUE!</v>
      </c>
      <c r="Y10" s="4" t="e">
        <f>X10*(1+'Tenure Split (WALES)'!F$118)</f>
        <v>#VALUE!</v>
      </c>
      <c r="Z10" s="4" t="e">
        <f>Y10*(1+'Tenure Split (WALES)'!G$118)</f>
        <v>#VALUE!</v>
      </c>
      <c r="AB10" s="1">
        <v>16</v>
      </c>
      <c r="AC10" s="4">
        <f>IF('Tenure Split (WALES)'!$D$18="Land Registry Data",'House Prices (SE Wales)'!D10,'House Prices (SE Wales)'!V10)</f>
        <v>87965.700143630151</v>
      </c>
      <c r="AD10" s="4">
        <f>IF('Tenure Split (WALES)'!$D$18="Land Registry Data",'House Prices (SE Wales)'!E10,'House Prices (SE Wales)'!W10)</f>
        <v>88161.560590429013</v>
      </c>
      <c r="AE10" s="4">
        <f>IF('Tenure Split (WALES)'!$D$18="Land Registry Data",'House Prices (SE Wales)'!F10,'House Prices (SE Wales)'!X10)</f>
        <v>90059.183524480221</v>
      </c>
      <c r="AF10" s="4">
        <f>IF('Tenure Split (WALES)'!$D$18="Land Registry Data",'House Prices (SE Wales)'!G10,'House Prices (SE Wales)'!Y10)</f>
        <v>93571.41679962074</v>
      </c>
      <c r="AG10" s="4">
        <f>IF('Tenure Split (WALES)'!$D$18="Land Registry Data",'House Prices (SE Wales)'!H10,'House Prices (SE Wales)'!Z10)</f>
        <v>97452.752047907517</v>
      </c>
    </row>
    <row r="11" spans="2:33" x14ac:dyDescent="0.25">
      <c r="B11" s="20">
        <v>17</v>
      </c>
      <c r="C11" s="58">
        <v>88000</v>
      </c>
      <c r="D11" s="59">
        <f>C11*(1+'Tenure Split (SE Wales)'!C$118)</f>
        <v>90499.691505792318</v>
      </c>
      <c r="E11" s="59">
        <f>D11*(1+'Tenure Split (SE Wales)'!D$118)</f>
        <v>90701.194023075106</v>
      </c>
      <c r="F11" s="59">
        <f>E11*(1+'Tenure Split (SE Wales)'!E$118)</f>
        <v>92653.48099226359</v>
      </c>
      <c r="G11" s="59">
        <f>F11*(1+'Tenure Split (SE Wales)'!F$118)</f>
        <v>96266.889711543961</v>
      </c>
      <c r="H11" s="60">
        <f>G11*(1+'Tenure Split (SE Wales)'!G$118)</f>
        <v>100260.03297109825</v>
      </c>
      <c r="L11" s="64" t="str">
        <f t="shared" si="0"/>
        <v/>
      </c>
      <c r="M11" s="264"/>
      <c r="N11" s="14">
        <f t="shared" si="3"/>
        <v>1</v>
      </c>
      <c r="T11" s="1">
        <f t="shared" si="1"/>
        <v>17</v>
      </c>
      <c r="U11" s="4" t="str">
        <f t="shared" si="2"/>
        <v/>
      </c>
      <c r="V11" s="4" t="e">
        <f>IF($V$3=$M$3,M11,U11*(1+'Tenure Split (WALES)'!C$118))</f>
        <v>#VALUE!</v>
      </c>
      <c r="W11" s="4" t="e">
        <f>V11*(1+'Tenure Split (WALES)'!D$118)</f>
        <v>#VALUE!</v>
      </c>
      <c r="X11" s="4" t="e">
        <f>W11*(1+'Tenure Split (WALES)'!E$118)</f>
        <v>#VALUE!</v>
      </c>
      <c r="Y11" s="4" t="e">
        <f>X11*(1+'Tenure Split (WALES)'!F$118)</f>
        <v>#VALUE!</v>
      </c>
      <c r="Z11" s="4" t="e">
        <f>Y11*(1+'Tenure Split (WALES)'!G$118)</f>
        <v>#VALUE!</v>
      </c>
      <c r="AB11" s="1">
        <v>17</v>
      </c>
      <c r="AC11" s="4">
        <f>IF('Tenure Split (WALES)'!$D$18="Land Registry Data",'House Prices (SE Wales)'!D11,'House Prices (SE Wales)'!V11)</f>
        <v>90499.691505792318</v>
      </c>
      <c r="AD11" s="4">
        <f>IF('Tenure Split (WALES)'!$D$18="Land Registry Data",'House Prices (SE Wales)'!E11,'House Prices (SE Wales)'!W11)</f>
        <v>90701.194023075106</v>
      </c>
      <c r="AE11" s="4">
        <f>IF('Tenure Split (WALES)'!$D$18="Land Registry Data",'House Prices (SE Wales)'!F11,'House Prices (SE Wales)'!X11)</f>
        <v>92653.48099226359</v>
      </c>
      <c r="AF11" s="4">
        <f>IF('Tenure Split (WALES)'!$D$18="Land Registry Data",'House Prices (SE Wales)'!G11,'House Prices (SE Wales)'!Y11)</f>
        <v>96266.889711543961</v>
      </c>
      <c r="AG11" s="4">
        <f>IF('Tenure Split (WALES)'!$D$18="Land Registry Data",'House Prices (SE Wales)'!H11,'House Prices (SE Wales)'!Z11)</f>
        <v>100260.03297109825</v>
      </c>
    </row>
    <row r="12" spans="2:33" x14ac:dyDescent="0.25">
      <c r="B12" s="20">
        <v>18</v>
      </c>
      <c r="C12" s="58">
        <v>90000</v>
      </c>
      <c r="D12" s="59">
        <f>C12*(1+'Tenure Split (SE Wales)'!C$118)</f>
        <v>92556.502676378499</v>
      </c>
      <c r="E12" s="59">
        <f>D12*(1+'Tenure Split (SE Wales)'!D$118)</f>
        <v>92762.584796326802</v>
      </c>
      <c r="F12" s="59">
        <f>E12*(1+'Tenure Split (SE Wales)'!E$118)</f>
        <v>94759.241923905938</v>
      </c>
      <c r="G12" s="59">
        <f>F12*(1+'Tenure Split (SE Wales)'!F$118)</f>
        <v>98454.773568624485</v>
      </c>
      <c r="H12" s="60">
        <f>G12*(1+'Tenure Split (SE Wales)'!G$118)</f>
        <v>102538.67008407773</v>
      </c>
      <c r="L12" s="64" t="str">
        <f t="shared" si="0"/>
        <v/>
      </c>
      <c r="M12" s="264"/>
      <c r="N12" s="14">
        <f t="shared" si="3"/>
        <v>1</v>
      </c>
      <c r="T12" s="1">
        <f t="shared" si="1"/>
        <v>18</v>
      </c>
      <c r="U12" s="4" t="str">
        <f t="shared" si="2"/>
        <v/>
      </c>
      <c r="V12" s="4" t="e">
        <f>IF($V$3=$M$3,M12,U12*(1+'Tenure Split (WALES)'!C$118))</f>
        <v>#VALUE!</v>
      </c>
      <c r="W12" s="4" t="e">
        <f>V12*(1+'Tenure Split (WALES)'!D$118)</f>
        <v>#VALUE!</v>
      </c>
      <c r="X12" s="4" t="e">
        <f>W12*(1+'Tenure Split (WALES)'!E$118)</f>
        <v>#VALUE!</v>
      </c>
      <c r="Y12" s="4" t="e">
        <f>X12*(1+'Tenure Split (WALES)'!F$118)</f>
        <v>#VALUE!</v>
      </c>
      <c r="Z12" s="4" t="e">
        <f>Y12*(1+'Tenure Split (WALES)'!G$118)</f>
        <v>#VALUE!</v>
      </c>
      <c r="AB12" s="1">
        <v>18</v>
      </c>
      <c r="AC12" s="4">
        <f>IF('Tenure Split (WALES)'!$D$18="Land Registry Data",'House Prices (SE Wales)'!D12,'House Prices (SE Wales)'!V12)</f>
        <v>92556.502676378499</v>
      </c>
      <c r="AD12" s="4">
        <f>IF('Tenure Split (WALES)'!$D$18="Land Registry Data",'House Prices (SE Wales)'!E12,'House Prices (SE Wales)'!W12)</f>
        <v>92762.584796326802</v>
      </c>
      <c r="AE12" s="4">
        <f>IF('Tenure Split (WALES)'!$D$18="Land Registry Data",'House Prices (SE Wales)'!F12,'House Prices (SE Wales)'!X12)</f>
        <v>94759.241923905938</v>
      </c>
      <c r="AF12" s="4">
        <f>IF('Tenure Split (WALES)'!$D$18="Land Registry Data",'House Prices (SE Wales)'!G12,'House Prices (SE Wales)'!Y12)</f>
        <v>98454.773568624485</v>
      </c>
      <c r="AG12" s="4">
        <f>IF('Tenure Split (WALES)'!$D$18="Land Registry Data",'House Prices (SE Wales)'!H12,'House Prices (SE Wales)'!Z12)</f>
        <v>102538.67008407773</v>
      </c>
    </row>
    <row r="13" spans="2:33" x14ac:dyDescent="0.25">
      <c r="B13" s="20">
        <v>19</v>
      </c>
      <c r="C13" s="58">
        <v>92500</v>
      </c>
      <c r="D13" s="59">
        <f>C13*(1+'Tenure Split (SE Wales)'!C$118)</f>
        <v>95127.516639611233</v>
      </c>
      <c r="E13" s="59">
        <f>D13*(1+'Tenure Split (SE Wales)'!D$118)</f>
        <v>95339.323262891441</v>
      </c>
      <c r="F13" s="59">
        <f>E13*(1+'Tenure Split (SE Wales)'!E$118)</f>
        <v>97391.443088458895</v>
      </c>
      <c r="G13" s="59">
        <f>F13*(1+'Tenure Split (SE Wales)'!F$118)</f>
        <v>101189.62838997519</v>
      </c>
      <c r="H13" s="60">
        <f>G13*(1+'Tenure Split (SE Wales)'!G$118)</f>
        <v>105386.96647530214</v>
      </c>
      <c r="L13" s="64" t="str">
        <f t="shared" si="0"/>
        <v/>
      </c>
      <c r="M13" s="264"/>
      <c r="N13" s="14">
        <f t="shared" si="3"/>
        <v>1</v>
      </c>
      <c r="T13" s="1">
        <f t="shared" si="1"/>
        <v>19</v>
      </c>
      <c r="U13" s="4" t="str">
        <f t="shared" si="2"/>
        <v/>
      </c>
      <c r="V13" s="4" t="e">
        <f>IF($V$3=$M$3,M13,U13*(1+'Tenure Split (WALES)'!C$118))</f>
        <v>#VALUE!</v>
      </c>
      <c r="W13" s="4" t="e">
        <f>V13*(1+'Tenure Split (WALES)'!D$118)</f>
        <v>#VALUE!</v>
      </c>
      <c r="X13" s="4" t="e">
        <f>W13*(1+'Tenure Split (WALES)'!E$118)</f>
        <v>#VALUE!</v>
      </c>
      <c r="Y13" s="4" t="e">
        <f>X13*(1+'Tenure Split (WALES)'!F$118)</f>
        <v>#VALUE!</v>
      </c>
      <c r="Z13" s="4" t="e">
        <f>Y13*(1+'Tenure Split (WALES)'!G$118)</f>
        <v>#VALUE!</v>
      </c>
      <c r="AB13" s="1">
        <v>19</v>
      </c>
      <c r="AC13" s="4">
        <f>IF('Tenure Split (WALES)'!$D$18="Land Registry Data",'House Prices (SE Wales)'!D13,'House Prices (SE Wales)'!V13)</f>
        <v>95127.516639611233</v>
      </c>
      <c r="AD13" s="4">
        <f>IF('Tenure Split (WALES)'!$D$18="Land Registry Data",'House Prices (SE Wales)'!E13,'House Prices (SE Wales)'!W13)</f>
        <v>95339.323262891441</v>
      </c>
      <c r="AE13" s="4">
        <f>IF('Tenure Split (WALES)'!$D$18="Land Registry Data",'House Prices (SE Wales)'!F13,'House Prices (SE Wales)'!X13)</f>
        <v>97391.443088458895</v>
      </c>
      <c r="AF13" s="4">
        <f>IF('Tenure Split (WALES)'!$D$18="Land Registry Data",'House Prices (SE Wales)'!G13,'House Prices (SE Wales)'!Y13)</f>
        <v>101189.62838997519</v>
      </c>
      <c r="AG13" s="4">
        <f>IF('Tenure Split (WALES)'!$D$18="Land Registry Data",'House Prices (SE Wales)'!H13,'House Prices (SE Wales)'!Z13)</f>
        <v>105386.96647530214</v>
      </c>
    </row>
    <row r="14" spans="2:33" x14ac:dyDescent="0.25">
      <c r="B14" s="20">
        <v>20</v>
      </c>
      <c r="C14" s="58">
        <v>95000</v>
      </c>
      <c r="D14" s="59">
        <f>C14*(1+'Tenure Split (SE Wales)'!C$118)</f>
        <v>97698.530602843966</v>
      </c>
      <c r="E14" s="59">
        <f>D14*(1+'Tenure Split (SE Wales)'!D$118)</f>
        <v>97916.061729456065</v>
      </c>
      <c r="F14" s="59">
        <f>E14*(1+'Tenure Split (SE Wales)'!E$118)</f>
        <v>100023.64425301182</v>
      </c>
      <c r="G14" s="59">
        <f>F14*(1+'Tenure Split (SE Wales)'!F$118)</f>
        <v>103924.48321132585</v>
      </c>
      <c r="H14" s="60">
        <f>G14*(1+'Tenure Split (SE Wales)'!G$118)</f>
        <v>108235.26286652649</v>
      </c>
      <c r="L14" s="64" t="str">
        <f t="shared" si="0"/>
        <v/>
      </c>
      <c r="M14" s="264"/>
      <c r="N14" s="14">
        <f t="shared" si="3"/>
        <v>1</v>
      </c>
      <c r="T14" s="1">
        <f t="shared" si="1"/>
        <v>20</v>
      </c>
      <c r="U14" s="4" t="str">
        <f t="shared" si="2"/>
        <v/>
      </c>
      <c r="V14" s="4" t="e">
        <f>IF($V$3=$M$3,M14,U14*(1+'Tenure Split (WALES)'!C$118))</f>
        <v>#VALUE!</v>
      </c>
      <c r="W14" s="4" t="e">
        <f>V14*(1+'Tenure Split (WALES)'!D$118)</f>
        <v>#VALUE!</v>
      </c>
      <c r="X14" s="4" t="e">
        <f>W14*(1+'Tenure Split (WALES)'!E$118)</f>
        <v>#VALUE!</v>
      </c>
      <c r="Y14" s="4" t="e">
        <f>X14*(1+'Tenure Split (WALES)'!F$118)</f>
        <v>#VALUE!</v>
      </c>
      <c r="Z14" s="4" t="e">
        <f>Y14*(1+'Tenure Split (WALES)'!G$118)</f>
        <v>#VALUE!</v>
      </c>
      <c r="AB14" s="1">
        <v>20</v>
      </c>
      <c r="AC14" s="4">
        <f>IF('Tenure Split (WALES)'!$D$18="Land Registry Data",'House Prices (SE Wales)'!D14,'House Prices (SE Wales)'!V14)</f>
        <v>97698.530602843966</v>
      </c>
      <c r="AD14" s="4">
        <f>IF('Tenure Split (WALES)'!$D$18="Land Registry Data",'House Prices (SE Wales)'!E14,'House Prices (SE Wales)'!W14)</f>
        <v>97916.061729456065</v>
      </c>
      <c r="AE14" s="4">
        <f>IF('Tenure Split (WALES)'!$D$18="Land Registry Data",'House Prices (SE Wales)'!F14,'House Prices (SE Wales)'!X14)</f>
        <v>100023.64425301182</v>
      </c>
      <c r="AF14" s="4">
        <f>IF('Tenure Split (WALES)'!$D$18="Land Registry Data",'House Prices (SE Wales)'!G14,'House Prices (SE Wales)'!Y14)</f>
        <v>103924.48321132585</v>
      </c>
      <c r="AG14" s="4">
        <f>IF('Tenure Split (WALES)'!$D$18="Land Registry Data",'House Prices (SE Wales)'!H14,'House Prices (SE Wales)'!Z14)</f>
        <v>108235.26286652649</v>
      </c>
    </row>
    <row r="15" spans="2:33" x14ac:dyDescent="0.25">
      <c r="B15" s="20">
        <v>21</v>
      </c>
      <c r="C15" s="58">
        <v>97000</v>
      </c>
      <c r="D15" s="59">
        <f>C15*(1+'Tenure Split (SE Wales)'!C$118)</f>
        <v>99755.341773430162</v>
      </c>
      <c r="E15" s="59">
        <f>D15*(1+'Tenure Split (SE Wales)'!D$118)</f>
        <v>99977.452502707776</v>
      </c>
      <c r="F15" s="59">
        <f>E15*(1+'Tenure Split (SE Wales)'!E$118)</f>
        <v>102129.40518465418</v>
      </c>
      <c r="G15" s="59">
        <f>F15*(1+'Tenure Split (SE Wales)'!F$118)</f>
        <v>106112.3670684064</v>
      </c>
      <c r="H15" s="60">
        <f>G15*(1+'Tenure Split (SE Wales)'!G$118)</f>
        <v>110513.89997950601</v>
      </c>
      <c r="L15" s="64" t="str">
        <f t="shared" si="0"/>
        <v/>
      </c>
      <c r="M15" s="264"/>
      <c r="N15" s="14">
        <f t="shared" si="3"/>
        <v>1</v>
      </c>
      <c r="T15" s="1">
        <f t="shared" si="1"/>
        <v>21</v>
      </c>
      <c r="U15" s="4" t="str">
        <f t="shared" si="2"/>
        <v/>
      </c>
      <c r="V15" s="4" t="e">
        <f>IF($V$3=$M$3,M15,U15*(1+'Tenure Split (WALES)'!C$118))</f>
        <v>#VALUE!</v>
      </c>
      <c r="W15" s="4" t="e">
        <f>V15*(1+'Tenure Split (WALES)'!D$118)</f>
        <v>#VALUE!</v>
      </c>
      <c r="X15" s="4" t="e">
        <f>W15*(1+'Tenure Split (WALES)'!E$118)</f>
        <v>#VALUE!</v>
      </c>
      <c r="Y15" s="4" t="e">
        <f>X15*(1+'Tenure Split (WALES)'!F$118)</f>
        <v>#VALUE!</v>
      </c>
      <c r="Z15" s="4" t="e">
        <f>Y15*(1+'Tenure Split (WALES)'!G$118)</f>
        <v>#VALUE!</v>
      </c>
      <c r="AB15" s="1">
        <v>21</v>
      </c>
      <c r="AC15" s="4">
        <f>IF('Tenure Split (WALES)'!$D$18="Land Registry Data",'House Prices (SE Wales)'!D15,'House Prices (SE Wales)'!V15)</f>
        <v>99755.341773430162</v>
      </c>
      <c r="AD15" s="4">
        <f>IF('Tenure Split (WALES)'!$D$18="Land Registry Data",'House Prices (SE Wales)'!E15,'House Prices (SE Wales)'!W15)</f>
        <v>99977.452502707776</v>
      </c>
      <c r="AE15" s="4">
        <f>IF('Tenure Split (WALES)'!$D$18="Land Registry Data",'House Prices (SE Wales)'!F15,'House Prices (SE Wales)'!X15)</f>
        <v>102129.40518465418</v>
      </c>
      <c r="AF15" s="4">
        <f>IF('Tenure Split (WALES)'!$D$18="Land Registry Data",'House Prices (SE Wales)'!G15,'House Prices (SE Wales)'!Y15)</f>
        <v>106112.3670684064</v>
      </c>
      <c r="AG15" s="4">
        <f>IF('Tenure Split (WALES)'!$D$18="Land Registry Data",'House Prices (SE Wales)'!H15,'House Prices (SE Wales)'!Z15)</f>
        <v>110513.89997950601</v>
      </c>
    </row>
    <row r="16" spans="2:33" x14ac:dyDescent="0.25">
      <c r="B16" s="20">
        <v>22</v>
      </c>
      <c r="C16" s="58">
        <v>99950</v>
      </c>
      <c r="D16" s="59">
        <f>C16*(1+'Tenure Split (SE Wales)'!C$118)</f>
        <v>102789.13825004479</v>
      </c>
      <c r="E16" s="59">
        <f>D16*(1+'Tenure Split (SE Wales)'!D$118)</f>
        <v>103018.00389325405</v>
      </c>
      <c r="F16" s="59">
        <f>E16*(1+'Tenure Split (SE Wales)'!E$118)</f>
        <v>105235.40255882665</v>
      </c>
      <c r="G16" s="59">
        <f>F16*(1+'Tenure Split (SE Wales)'!F$118)</f>
        <v>109339.49575760021</v>
      </c>
      <c r="H16" s="60">
        <f>G16*(1+'Tenure Split (SE Wales)'!G$118)</f>
        <v>113874.88972115079</v>
      </c>
      <c r="L16" s="64" t="str">
        <f t="shared" si="0"/>
        <v/>
      </c>
      <c r="M16" s="264"/>
      <c r="N16" s="14">
        <f t="shared" si="3"/>
        <v>1</v>
      </c>
      <c r="T16" s="1">
        <f t="shared" si="1"/>
        <v>22</v>
      </c>
      <c r="U16" s="4" t="str">
        <f t="shared" si="2"/>
        <v/>
      </c>
      <c r="V16" s="4" t="e">
        <f>IF($V$3=$M$3,M16,U16*(1+'Tenure Split (WALES)'!C$118))</f>
        <v>#VALUE!</v>
      </c>
      <c r="W16" s="4" t="e">
        <f>V16*(1+'Tenure Split (WALES)'!D$118)</f>
        <v>#VALUE!</v>
      </c>
      <c r="X16" s="4" t="e">
        <f>W16*(1+'Tenure Split (WALES)'!E$118)</f>
        <v>#VALUE!</v>
      </c>
      <c r="Y16" s="4" t="e">
        <f>X16*(1+'Tenure Split (WALES)'!F$118)</f>
        <v>#VALUE!</v>
      </c>
      <c r="Z16" s="4" t="e">
        <f>Y16*(1+'Tenure Split (WALES)'!G$118)</f>
        <v>#VALUE!</v>
      </c>
      <c r="AB16" s="1">
        <v>22</v>
      </c>
      <c r="AC16" s="4">
        <f>IF('Tenure Split (WALES)'!$D$18="Land Registry Data",'House Prices (SE Wales)'!D16,'House Prices (SE Wales)'!V16)</f>
        <v>102789.13825004479</v>
      </c>
      <c r="AD16" s="4">
        <f>IF('Tenure Split (WALES)'!$D$18="Land Registry Data",'House Prices (SE Wales)'!E16,'House Prices (SE Wales)'!W16)</f>
        <v>103018.00389325405</v>
      </c>
      <c r="AE16" s="4">
        <f>IF('Tenure Split (WALES)'!$D$18="Land Registry Data",'House Prices (SE Wales)'!F16,'House Prices (SE Wales)'!X16)</f>
        <v>105235.40255882665</v>
      </c>
      <c r="AF16" s="4">
        <f>IF('Tenure Split (WALES)'!$D$18="Land Registry Data",'House Prices (SE Wales)'!G16,'House Prices (SE Wales)'!Y16)</f>
        <v>109339.49575760021</v>
      </c>
      <c r="AG16" s="4">
        <f>IF('Tenure Split (WALES)'!$D$18="Land Registry Data",'House Prices (SE Wales)'!H16,'House Prices (SE Wales)'!Z16)</f>
        <v>113874.88972115079</v>
      </c>
    </row>
    <row r="17" spans="2:33" x14ac:dyDescent="0.25">
      <c r="B17" s="20">
        <v>23</v>
      </c>
      <c r="C17" s="58">
        <v>101000</v>
      </c>
      <c r="D17" s="59">
        <f>C17*(1+'Tenure Split (SE Wales)'!C$118)</f>
        <v>103868.96411460254</v>
      </c>
      <c r="E17" s="59">
        <f>D17*(1+'Tenure Split (SE Wales)'!D$118)</f>
        <v>104100.2340492112</v>
      </c>
      <c r="F17" s="59">
        <f>E17*(1+'Tenure Split (SE Wales)'!E$118)</f>
        <v>106340.92704793889</v>
      </c>
      <c r="G17" s="59">
        <f>F17*(1+'Tenure Split (SE Wales)'!F$118)</f>
        <v>110488.13478256749</v>
      </c>
      <c r="H17" s="60">
        <f>G17*(1+'Tenure Split (SE Wales)'!G$118)</f>
        <v>115071.17420546502</v>
      </c>
      <c r="L17" s="64" t="str">
        <f t="shared" si="0"/>
        <v/>
      </c>
      <c r="M17" s="264"/>
      <c r="N17" s="14">
        <f t="shared" si="3"/>
        <v>1</v>
      </c>
      <c r="T17" s="1">
        <f t="shared" si="1"/>
        <v>23</v>
      </c>
      <c r="U17" s="4" t="str">
        <f t="shared" si="2"/>
        <v/>
      </c>
      <c r="V17" s="4" t="e">
        <f>IF($V$3=$M$3,M17,U17*(1+'Tenure Split (WALES)'!C$118))</f>
        <v>#VALUE!</v>
      </c>
      <c r="W17" s="4" t="e">
        <f>V17*(1+'Tenure Split (WALES)'!D$118)</f>
        <v>#VALUE!</v>
      </c>
      <c r="X17" s="4" t="e">
        <f>W17*(1+'Tenure Split (WALES)'!E$118)</f>
        <v>#VALUE!</v>
      </c>
      <c r="Y17" s="4" t="e">
        <f>X17*(1+'Tenure Split (WALES)'!F$118)</f>
        <v>#VALUE!</v>
      </c>
      <c r="Z17" s="4" t="e">
        <f>Y17*(1+'Tenure Split (WALES)'!G$118)</f>
        <v>#VALUE!</v>
      </c>
      <c r="AB17" s="1">
        <v>23</v>
      </c>
      <c r="AC17" s="4">
        <f>IF('Tenure Split (WALES)'!$D$18="Land Registry Data",'House Prices (SE Wales)'!D17,'House Prices (SE Wales)'!V17)</f>
        <v>103868.96411460254</v>
      </c>
      <c r="AD17" s="4">
        <f>IF('Tenure Split (WALES)'!$D$18="Land Registry Data",'House Prices (SE Wales)'!E17,'House Prices (SE Wales)'!W17)</f>
        <v>104100.2340492112</v>
      </c>
      <c r="AE17" s="4">
        <f>IF('Tenure Split (WALES)'!$D$18="Land Registry Data",'House Prices (SE Wales)'!F17,'House Prices (SE Wales)'!X17)</f>
        <v>106340.92704793889</v>
      </c>
      <c r="AF17" s="4">
        <f>IF('Tenure Split (WALES)'!$D$18="Land Registry Data",'House Prices (SE Wales)'!G17,'House Prices (SE Wales)'!Y17)</f>
        <v>110488.13478256749</v>
      </c>
      <c r="AG17" s="4">
        <f>IF('Tenure Split (WALES)'!$D$18="Land Registry Data",'House Prices (SE Wales)'!H17,'House Prices (SE Wales)'!Z17)</f>
        <v>115071.17420546502</v>
      </c>
    </row>
    <row r="18" spans="2:33" x14ac:dyDescent="0.25">
      <c r="B18" s="20">
        <v>24</v>
      </c>
      <c r="C18" s="58">
        <v>104950</v>
      </c>
      <c r="D18" s="59">
        <f>C18*(1+'Tenure Split (SE Wales)'!C$118)</f>
        <v>107931.16617651026</v>
      </c>
      <c r="E18" s="59">
        <f>D18*(1+'Tenure Split (SE Wales)'!D$118)</f>
        <v>108171.48082638331</v>
      </c>
      <c r="F18" s="59">
        <f>E18*(1+'Tenure Split (SE Wales)'!E$118)</f>
        <v>110499.80488793254</v>
      </c>
      <c r="G18" s="59">
        <f>F18*(1+'Tenure Split (SE Wales)'!F$118)</f>
        <v>114809.20540030157</v>
      </c>
      <c r="H18" s="60">
        <f>G18*(1+'Tenure Split (SE Wales)'!G$118)</f>
        <v>119571.48250359955</v>
      </c>
      <c r="L18" s="64" t="str">
        <f t="shared" si="0"/>
        <v/>
      </c>
      <c r="M18" s="264"/>
      <c r="N18" s="14">
        <f t="shared" si="3"/>
        <v>1</v>
      </c>
      <c r="T18" s="1">
        <f t="shared" si="1"/>
        <v>24</v>
      </c>
      <c r="U18" s="4" t="str">
        <f t="shared" si="2"/>
        <v/>
      </c>
      <c r="V18" s="4" t="e">
        <f>IF($V$3=$M$3,M18,U18*(1+'Tenure Split (WALES)'!C$118))</f>
        <v>#VALUE!</v>
      </c>
      <c r="W18" s="4" t="e">
        <f>V18*(1+'Tenure Split (WALES)'!D$118)</f>
        <v>#VALUE!</v>
      </c>
      <c r="X18" s="4" t="e">
        <f>W18*(1+'Tenure Split (WALES)'!E$118)</f>
        <v>#VALUE!</v>
      </c>
      <c r="Y18" s="4" t="e">
        <f>X18*(1+'Tenure Split (WALES)'!F$118)</f>
        <v>#VALUE!</v>
      </c>
      <c r="Z18" s="4" t="e">
        <f>Y18*(1+'Tenure Split (WALES)'!G$118)</f>
        <v>#VALUE!</v>
      </c>
      <c r="AB18" s="1">
        <v>24</v>
      </c>
      <c r="AC18" s="4">
        <f>IF('Tenure Split (WALES)'!$D$18="Land Registry Data",'House Prices (SE Wales)'!D18,'House Prices (SE Wales)'!V18)</f>
        <v>107931.16617651026</v>
      </c>
      <c r="AD18" s="4">
        <f>IF('Tenure Split (WALES)'!$D$18="Land Registry Data",'House Prices (SE Wales)'!E18,'House Prices (SE Wales)'!W18)</f>
        <v>108171.48082638331</v>
      </c>
      <c r="AE18" s="4">
        <f>IF('Tenure Split (WALES)'!$D$18="Land Registry Data",'House Prices (SE Wales)'!F18,'House Prices (SE Wales)'!X18)</f>
        <v>110499.80488793254</v>
      </c>
      <c r="AF18" s="4">
        <f>IF('Tenure Split (WALES)'!$D$18="Land Registry Data",'House Prices (SE Wales)'!G18,'House Prices (SE Wales)'!Y18)</f>
        <v>114809.20540030157</v>
      </c>
      <c r="AG18" s="4">
        <f>IF('Tenure Split (WALES)'!$D$18="Land Registry Data",'House Prices (SE Wales)'!H18,'House Prices (SE Wales)'!Z18)</f>
        <v>119571.48250359955</v>
      </c>
    </row>
    <row r="19" spans="2:33" x14ac:dyDescent="0.25">
      <c r="B19" s="20">
        <v>25</v>
      </c>
      <c r="C19" s="58">
        <v>106000</v>
      </c>
      <c r="D19" s="59">
        <f>C19*(1+'Tenure Split (SE Wales)'!C$118)</f>
        <v>109010.99204106801</v>
      </c>
      <c r="E19" s="59">
        <f>D19*(1+'Tenure Split (SE Wales)'!D$118)</f>
        <v>109253.71098234046</v>
      </c>
      <c r="F19" s="59">
        <f>E19*(1+'Tenure Split (SE Wales)'!E$118)</f>
        <v>111605.32937704478</v>
      </c>
      <c r="G19" s="59">
        <f>F19*(1+'Tenure Split (SE Wales)'!F$118)</f>
        <v>115957.84442526885</v>
      </c>
      <c r="H19" s="60">
        <f>G19*(1+'Tenure Split (SE Wales)'!G$118)</f>
        <v>120767.7669879138</v>
      </c>
      <c r="L19" s="64" t="str">
        <f t="shared" si="0"/>
        <v/>
      </c>
      <c r="M19" s="264"/>
      <c r="N19" s="14">
        <f t="shared" si="3"/>
        <v>1</v>
      </c>
      <c r="T19" s="1">
        <f t="shared" si="1"/>
        <v>25</v>
      </c>
      <c r="U19" s="4" t="str">
        <f t="shared" si="2"/>
        <v/>
      </c>
      <c r="V19" s="4" t="e">
        <f>IF($V$3=$M$3,M19,U19*(1+'Tenure Split (WALES)'!C$118))</f>
        <v>#VALUE!</v>
      </c>
      <c r="W19" s="4" t="e">
        <f>V19*(1+'Tenure Split (WALES)'!D$118)</f>
        <v>#VALUE!</v>
      </c>
      <c r="X19" s="4" t="e">
        <f>W19*(1+'Tenure Split (WALES)'!E$118)</f>
        <v>#VALUE!</v>
      </c>
      <c r="Y19" s="4" t="e">
        <f>X19*(1+'Tenure Split (WALES)'!F$118)</f>
        <v>#VALUE!</v>
      </c>
      <c r="Z19" s="4" t="e">
        <f>Y19*(1+'Tenure Split (WALES)'!G$118)</f>
        <v>#VALUE!</v>
      </c>
      <c r="AB19" s="1">
        <v>25</v>
      </c>
      <c r="AC19" s="4">
        <f>IF('Tenure Split (WALES)'!$D$18="Land Registry Data",'House Prices (SE Wales)'!D19,'House Prices (SE Wales)'!V19)</f>
        <v>109010.99204106801</v>
      </c>
      <c r="AD19" s="4">
        <f>IF('Tenure Split (WALES)'!$D$18="Land Registry Data",'House Prices (SE Wales)'!E19,'House Prices (SE Wales)'!W19)</f>
        <v>109253.71098234046</v>
      </c>
      <c r="AE19" s="4">
        <f>IF('Tenure Split (WALES)'!$D$18="Land Registry Data",'House Prices (SE Wales)'!F19,'House Prices (SE Wales)'!X19)</f>
        <v>111605.32937704478</v>
      </c>
      <c r="AF19" s="4">
        <f>IF('Tenure Split (WALES)'!$D$18="Land Registry Data",'House Prices (SE Wales)'!G19,'House Prices (SE Wales)'!Y19)</f>
        <v>115957.84442526885</v>
      </c>
      <c r="AG19" s="4">
        <f>IF('Tenure Split (WALES)'!$D$18="Land Registry Data",'House Prices (SE Wales)'!H19,'House Prices (SE Wales)'!Z19)</f>
        <v>120767.7669879138</v>
      </c>
    </row>
    <row r="20" spans="2:33" x14ac:dyDescent="0.25">
      <c r="B20" s="20">
        <v>26</v>
      </c>
      <c r="C20" s="58">
        <v>108500</v>
      </c>
      <c r="D20" s="59">
        <f>C20*(1+'Tenure Split (SE Wales)'!C$118)</f>
        <v>111582.00600430075</v>
      </c>
      <c r="E20" s="59">
        <f>D20*(1+'Tenure Split (SE Wales)'!D$118)</f>
        <v>111830.4494489051</v>
      </c>
      <c r="F20" s="59">
        <f>E20*(1+'Tenure Split (SE Wales)'!E$118)</f>
        <v>114237.53054159772</v>
      </c>
      <c r="G20" s="59">
        <f>F20*(1+'Tenure Split (SE Wales)'!F$118)</f>
        <v>118692.69924661954</v>
      </c>
      <c r="H20" s="60">
        <f>G20*(1+'Tenure Split (SE Wales)'!G$118)</f>
        <v>123616.06337913818</v>
      </c>
      <c r="L20" s="64" t="str">
        <f t="shared" si="0"/>
        <v/>
      </c>
      <c r="M20" s="264"/>
      <c r="N20" s="14">
        <f t="shared" si="3"/>
        <v>1</v>
      </c>
      <c r="T20" s="1">
        <f t="shared" si="1"/>
        <v>26</v>
      </c>
      <c r="U20" s="4" t="str">
        <f t="shared" si="2"/>
        <v/>
      </c>
      <c r="V20" s="4" t="e">
        <f>IF($V$3=$M$3,M20,U20*(1+'Tenure Split (WALES)'!C$118))</f>
        <v>#VALUE!</v>
      </c>
      <c r="W20" s="4" t="e">
        <f>V20*(1+'Tenure Split (WALES)'!D$118)</f>
        <v>#VALUE!</v>
      </c>
      <c r="X20" s="4" t="e">
        <f>W20*(1+'Tenure Split (WALES)'!E$118)</f>
        <v>#VALUE!</v>
      </c>
      <c r="Y20" s="4" t="e">
        <f>X20*(1+'Tenure Split (WALES)'!F$118)</f>
        <v>#VALUE!</v>
      </c>
      <c r="Z20" s="4" t="e">
        <f>Y20*(1+'Tenure Split (WALES)'!G$118)</f>
        <v>#VALUE!</v>
      </c>
      <c r="AB20" s="1">
        <v>26</v>
      </c>
      <c r="AC20" s="4">
        <f>IF('Tenure Split (WALES)'!$D$18="Land Registry Data",'House Prices (SE Wales)'!D20,'House Prices (SE Wales)'!V20)</f>
        <v>111582.00600430075</v>
      </c>
      <c r="AD20" s="4">
        <f>IF('Tenure Split (WALES)'!$D$18="Land Registry Data",'House Prices (SE Wales)'!E20,'House Prices (SE Wales)'!W20)</f>
        <v>111830.4494489051</v>
      </c>
      <c r="AE20" s="4">
        <f>IF('Tenure Split (WALES)'!$D$18="Land Registry Data",'House Prices (SE Wales)'!F20,'House Prices (SE Wales)'!X20)</f>
        <v>114237.53054159772</v>
      </c>
      <c r="AF20" s="4">
        <f>IF('Tenure Split (WALES)'!$D$18="Land Registry Data",'House Prices (SE Wales)'!G20,'House Prices (SE Wales)'!Y20)</f>
        <v>118692.69924661954</v>
      </c>
      <c r="AG20" s="4">
        <f>IF('Tenure Split (WALES)'!$D$18="Land Registry Data",'House Prices (SE Wales)'!H20,'House Prices (SE Wales)'!Z20)</f>
        <v>123616.06337913818</v>
      </c>
    </row>
    <row r="21" spans="2:33" x14ac:dyDescent="0.25">
      <c r="B21" s="20">
        <v>27</v>
      </c>
      <c r="C21" s="58">
        <v>110000</v>
      </c>
      <c r="D21" s="59">
        <f>C21*(1+'Tenure Split (SE Wales)'!C$118)</f>
        <v>113124.61438224038</v>
      </c>
      <c r="E21" s="59">
        <f>D21*(1+'Tenure Split (SE Wales)'!D$118)</f>
        <v>113376.49252884387</v>
      </c>
      <c r="F21" s="59">
        <f>E21*(1+'Tenure Split (SE Wales)'!E$118)</f>
        <v>115816.85124032947</v>
      </c>
      <c r="G21" s="59">
        <f>F21*(1+'Tenure Split (SE Wales)'!F$118)</f>
        <v>120333.61213942993</v>
      </c>
      <c r="H21" s="60">
        <f>G21*(1+'Tenure Split (SE Wales)'!G$118)</f>
        <v>125325.04121387278</v>
      </c>
      <c r="L21" s="64" t="str">
        <f t="shared" si="0"/>
        <v/>
      </c>
      <c r="M21" s="264"/>
      <c r="N21" s="14">
        <f t="shared" si="3"/>
        <v>1</v>
      </c>
      <c r="T21" s="1">
        <f t="shared" si="1"/>
        <v>27</v>
      </c>
      <c r="U21" s="4" t="str">
        <f t="shared" si="2"/>
        <v/>
      </c>
      <c r="V21" s="4" t="e">
        <f>IF($V$3=$M$3,M21,U21*(1+'Tenure Split (WALES)'!C$118))</f>
        <v>#VALUE!</v>
      </c>
      <c r="W21" s="4" t="e">
        <f>V21*(1+'Tenure Split (WALES)'!D$118)</f>
        <v>#VALUE!</v>
      </c>
      <c r="X21" s="4" t="e">
        <f>W21*(1+'Tenure Split (WALES)'!E$118)</f>
        <v>#VALUE!</v>
      </c>
      <c r="Y21" s="4" t="e">
        <f>X21*(1+'Tenure Split (WALES)'!F$118)</f>
        <v>#VALUE!</v>
      </c>
      <c r="Z21" s="4" t="e">
        <f>Y21*(1+'Tenure Split (WALES)'!G$118)</f>
        <v>#VALUE!</v>
      </c>
      <c r="AB21" s="1">
        <v>27</v>
      </c>
      <c r="AC21" s="4">
        <f>IF('Tenure Split (WALES)'!$D$18="Land Registry Data",'House Prices (SE Wales)'!D21,'House Prices (SE Wales)'!V21)</f>
        <v>113124.61438224038</v>
      </c>
      <c r="AD21" s="4">
        <f>IF('Tenure Split (WALES)'!$D$18="Land Registry Data",'House Prices (SE Wales)'!E21,'House Prices (SE Wales)'!W21)</f>
        <v>113376.49252884387</v>
      </c>
      <c r="AE21" s="4">
        <f>IF('Tenure Split (WALES)'!$D$18="Land Registry Data",'House Prices (SE Wales)'!F21,'House Prices (SE Wales)'!X21)</f>
        <v>115816.85124032947</v>
      </c>
      <c r="AF21" s="4">
        <f>IF('Tenure Split (WALES)'!$D$18="Land Registry Data",'House Prices (SE Wales)'!G21,'House Prices (SE Wales)'!Y21)</f>
        <v>120333.61213942993</v>
      </c>
      <c r="AG21" s="4">
        <f>IF('Tenure Split (WALES)'!$D$18="Land Registry Data",'House Prices (SE Wales)'!H21,'House Prices (SE Wales)'!Z21)</f>
        <v>125325.04121387278</v>
      </c>
    </row>
    <row r="22" spans="2:33" x14ac:dyDescent="0.25">
      <c r="B22" s="20">
        <v>28</v>
      </c>
      <c r="C22" s="58">
        <v>112000</v>
      </c>
      <c r="D22" s="59">
        <f>C22*(1+'Tenure Split (SE Wales)'!C$118)</f>
        <v>115181.42555282658</v>
      </c>
      <c r="E22" s="59">
        <f>D22*(1+'Tenure Split (SE Wales)'!D$118)</f>
        <v>115437.88330209558</v>
      </c>
      <c r="F22" s="59">
        <f>E22*(1+'Tenure Split (SE Wales)'!E$118)</f>
        <v>117922.61217197184</v>
      </c>
      <c r="G22" s="59">
        <f>F22*(1+'Tenure Split (SE Wales)'!F$118)</f>
        <v>122521.49599651048</v>
      </c>
      <c r="H22" s="60">
        <f>G22*(1+'Tenure Split (SE Wales)'!G$118)</f>
        <v>127603.6783268523</v>
      </c>
      <c r="L22" s="64" t="str">
        <f t="shared" si="0"/>
        <v/>
      </c>
      <c r="M22" s="264"/>
      <c r="N22" s="14">
        <f t="shared" si="3"/>
        <v>1</v>
      </c>
      <c r="T22" s="1">
        <f t="shared" si="1"/>
        <v>28</v>
      </c>
      <c r="U22" s="4" t="str">
        <f t="shared" si="2"/>
        <v/>
      </c>
      <c r="V22" s="4" t="e">
        <f>IF($V$3=$M$3,M22,U22*(1+'Tenure Split (WALES)'!C$118))</f>
        <v>#VALUE!</v>
      </c>
      <c r="W22" s="4" t="e">
        <f>V22*(1+'Tenure Split (WALES)'!D$118)</f>
        <v>#VALUE!</v>
      </c>
      <c r="X22" s="4" t="e">
        <f>W22*(1+'Tenure Split (WALES)'!E$118)</f>
        <v>#VALUE!</v>
      </c>
      <c r="Y22" s="4" t="e">
        <f>X22*(1+'Tenure Split (WALES)'!F$118)</f>
        <v>#VALUE!</v>
      </c>
      <c r="Z22" s="4" t="e">
        <f>Y22*(1+'Tenure Split (WALES)'!G$118)</f>
        <v>#VALUE!</v>
      </c>
      <c r="AB22" s="1">
        <v>28</v>
      </c>
      <c r="AC22" s="4">
        <f>IF('Tenure Split (WALES)'!$D$18="Land Registry Data",'House Prices (SE Wales)'!D22,'House Prices (SE Wales)'!V22)</f>
        <v>115181.42555282658</v>
      </c>
      <c r="AD22" s="4">
        <f>IF('Tenure Split (WALES)'!$D$18="Land Registry Data",'House Prices (SE Wales)'!E22,'House Prices (SE Wales)'!W22)</f>
        <v>115437.88330209558</v>
      </c>
      <c r="AE22" s="4">
        <f>IF('Tenure Split (WALES)'!$D$18="Land Registry Data",'House Prices (SE Wales)'!F22,'House Prices (SE Wales)'!X22)</f>
        <v>117922.61217197184</v>
      </c>
      <c r="AF22" s="4">
        <f>IF('Tenure Split (WALES)'!$D$18="Land Registry Data",'House Prices (SE Wales)'!G22,'House Prices (SE Wales)'!Y22)</f>
        <v>122521.49599651048</v>
      </c>
      <c r="AG22" s="4">
        <f>IF('Tenure Split (WALES)'!$D$18="Land Registry Data",'House Prices (SE Wales)'!H22,'House Prices (SE Wales)'!Z22)</f>
        <v>127603.6783268523</v>
      </c>
    </row>
    <row r="23" spans="2:33" x14ac:dyDescent="0.25">
      <c r="B23" s="20">
        <v>29</v>
      </c>
      <c r="C23" s="58">
        <v>115000</v>
      </c>
      <c r="D23" s="59">
        <f>C23*(1+'Tenure Split (SE Wales)'!C$118)</f>
        <v>118266.64230870586</v>
      </c>
      <c r="E23" s="59">
        <f>D23*(1+'Tenure Split (SE Wales)'!D$118)</f>
        <v>118529.96946197315</v>
      </c>
      <c r="F23" s="59">
        <f>E23*(1+'Tenure Split (SE Wales)'!E$118)</f>
        <v>121081.25356943537</v>
      </c>
      <c r="G23" s="59">
        <f>F23*(1+'Tenure Split (SE Wales)'!F$118)</f>
        <v>125803.3217821313</v>
      </c>
      <c r="H23" s="60">
        <f>G23*(1+'Tenure Split (SE Wales)'!G$118)</f>
        <v>131021.63399632157</v>
      </c>
      <c r="L23" s="64" t="str">
        <f t="shared" si="0"/>
        <v/>
      </c>
      <c r="M23" s="264"/>
      <c r="N23" s="14">
        <f t="shared" si="3"/>
        <v>1</v>
      </c>
      <c r="T23" s="1">
        <f t="shared" si="1"/>
        <v>29</v>
      </c>
      <c r="U23" s="4" t="str">
        <f t="shared" si="2"/>
        <v/>
      </c>
      <c r="V23" s="4" t="e">
        <f>IF($V$3=$M$3,M23,U23*(1+'Tenure Split (WALES)'!C$118))</f>
        <v>#VALUE!</v>
      </c>
      <c r="W23" s="4" t="e">
        <f>V23*(1+'Tenure Split (WALES)'!D$118)</f>
        <v>#VALUE!</v>
      </c>
      <c r="X23" s="4" t="e">
        <f>W23*(1+'Tenure Split (WALES)'!E$118)</f>
        <v>#VALUE!</v>
      </c>
      <c r="Y23" s="4" t="e">
        <f>X23*(1+'Tenure Split (WALES)'!F$118)</f>
        <v>#VALUE!</v>
      </c>
      <c r="Z23" s="4" t="e">
        <f>Y23*(1+'Tenure Split (WALES)'!G$118)</f>
        <v>#VALUE!</v>
      </c>
      <c r="AB23" s="1">
        <v>29</v>
      </c>
      <c r="AC23" s="4">
        <f>IF('Tenure Split (WALES)'!$D$18="Land Registry Data",'House Prices (SE Wales)'!D23,'House Prices (SE Wales)'!V23)</f>
        <v>118266.64230870586</v>
      </c>
      <c r="AD23" s="4">
        <f>IF('Tenure Split (WALES)'!$D$18="Land Registry Data",'House Prices (SE Wales)'!E23,'House Prices (SE Wales)'!W23)</f>
        <v>118529.96946197315</v>
      </c>
      <c r="AE23" s="4">
        <f>IF('Tenure Split (WALES)'!$D$18="Land Registry Data",'House Prices (SE Wales)'!F23,'House Prices (SE Wales)'!X23)</f>
        <v>121081.25356943537</v>
      </c>
      <c r="AF23" s="4">
        <f>IF('Tenure Split (WALES)'!$D$18="Land Registry Data",'House Prices (SE Wales)'!G23,'House Prices (SE Wales)'!Y23)</f>
        <v>125803.3217821313</v>
      </c>
      <c r="AG23" s="4">
        <f>IF('Tenure Split (WALES)'!$D$18="Land Registry Data",'House Prices (SE Wales)'!H23,'House Prices (SE Wales)'!Z23)</f>
        <v>131021.63399632157</v>
      </c>
    </row>
    <row r="24" spans="2:33" x14ac:dyDescent="0.25">
      <c r="B24" s="20">
        <v>30</v>
      </c>
      <c r="C24" s="58">
        <v>116000</v>
      </c>
      <c r="D24" s="59">
        <f>C24*(1+'Tenure Split (SE Wales)'!C$118)</f>
        <v>119295.04789399896</v>
      </c>
      <c r="E24" s="59">
        <f>D24*(1+'Tenure Split (SE Wales)'!D$118)</f>
        <v>119560.66484859899</v>
      </c>
      <c r="F24" s="59">
        <f>E24*(1+'Tenure Split (SE Wales)'!E$118)</f>
        <v>122134.13403525655</v>
      </c>
      <c r="G24" s="59">
        <f>F24*(1+'Tenure Split (SE Wales)'!F$118)</f>
        <v>126897.26371067157</v>
      </c>
      <c r="H24" s="60">
        <f>G24*(1+'Tenure Split (SE Wales)'!G$118)</f>
        <v>132160.95255281133</v>
      </c>
      <c r="L24" s="64" t="str">
        <f t="shared" si="0"/>
        <v/>
      </c>
      <c r="M24" s="264"/>
      <c r="N24" s="14">
        <f t="shared" si="3"/>
        <v>1</v>
      </c>
      <c r="T24" s="1">
        <f t="shared" si="1"/>
        <v>30</v>
      </c>
      <c r="U24" s="4" t="str">
        <f t="shared" si="2"/>
        <v/>
      </c>
      <c r="V24" s="4" t="e">
        <f>IF($V$3=$M$3,M24,U24*(1+'Tenure Split (WALES)'!C$118))</f>
        <v>#VALUE!</v>
      </c>
      <c r="W24" s="4" t="e">
        <f>V24*(1+'Tenure Split (WALES)'!D$118)</f>
        <v>#VALUE!</v>
      </c>
      <c r="X24" s="4" t="e">
        <f>W24*(1+'Tenure Split (WALES)'!E$118)</f>
        <v>#VALUE!</v>
      </c>
      <c r="Y24" s="4" t="e">
        <f>X24*(1+'Tenure Split (WALES)'!F$118)</f>
        <v>#VALUE!</v>
      </c>
      <c r="Z24" s="4" t="e">
        <f>Y24*(1+'Tenure Split (WALES)'!G$118)</f>
        <v>#VALUE!</v>
      </c>
      <c r="AB24" s="1">
        <v>30</v>
      </c>
      <c r="AC24" s="4">
        <f>IF('Tenure Split (WALES)'!$D$18="Land Registry Data",'House Prices (SE Wales)'!D24,'House Prices (SE Wales)'!V24)</f>
        <v>119295.04789399896</v>
      </c>
      <c r="AD24" s="4">
        <f>IF('Tenure Split (WALES)'!$D$18="Land Registry Data",'House Prices (SE Wales)'!E24,'House Prices (SE Wales)'!W24)</f>
        <v>119560.66484859899</v>
      </c>
      <c r="AE24" s="4">
        <f>IF('Tenure Split (WALES)'!$D$18="Land Registry Data",'House Prices (SE Wales)'!F24,'House Prices (SE Wales)'!X24)</f>
        <v>122134.13403525655</v>
      </c>
      <c r="AF24" s="4">
        <f>IF('Tenure Split (WALES)'!$D$18="Land Registry Data",'House Prices (SE Wales)'!G24,'House Prices (SE Wales)'!Y24)</f>
        <v>126897.26371067157</v>
      </c>
      <c r="AG24" s="4">
        <f>IF('Tenure Split (WALES)'!$D$18="Land Registry Data",'House Prices (SE Wales)'!H24,'House Prices (SE Wales)'!Z24)</f>
        <v>132160.95255281133</v>
      </c>
    </row>
    <row r="25" spans="2:33" x14ac:dyDescent="0.25">
      <c r="B25" s="20">
        <v>31</v>
      </c>
      <c r="C25" s="58">
        <v>118000</v>
      </c>
      <c r="D25" s="59">
        <f>C25*(1+'Tenure Split (SE Wales)'!C$118)</f>
        <v>121351.85906458515</v>
      </c>
      <c r="E25" s="59">
        <f>D25*(1+'Tenure Split (SE Wales)'!D$118)</f>
        <v>121622.05562185071</v>
      </c>
      <c r="F25" s="59">
        <f>E25*(1+'Tenure Split (SE Wales)'!E$118)</f>
        <v>124239.89496689891</v>
      </c>
      <c r="G25" s="59">
        <f>F25*(1+'Tenure Split (SE Wales)'!F$118)</f>
        <v>129085.14756775212</v>
      </c>
      <c r="H25" s="60">
        <f>G25*(1+'Tenure Split (SE Wales)'!G$118)</f>
        <v>134439.58966579085</v>
      </c>
      <c r="L25" s="64" t="str">
        <f t="shared" si="0"/>
        <v/>
      </c>
      <c r="M25" s="264"/>
      <c r="N25" s="14">
        <f t="shared" si="3"/>
        <v>1</v>
      </c>
      <c r="T25" s="1">
        <f t="shared" si="1"/>
        <v>31</v>
      </c>
      <c r="U25" s="4" t="str">
        <f t="shared" si="2"/>
        <v/>
      </c>
      <c r="V25" s="4" t="e">
        <f>IF($V$3=$M$3,M25,U25*(1+'Tenure Split (WALES)'!C$118))</f>
        <v>#VALUE!</v>
      </c>
      <c r="W25" s="4" t="e">
        <f>V25*(1+'Tenure Split (WALES)'!D$118)</f>
        <v>#VALUE!</v>
      </c>
      <c r="X25" s="4" t="e">
        <f>W25*(1+'Tenure Split (WALES)'!E$118)</f>
        <v>#VALUE!</v>
      </c>
      <c r="Y25" s="4" t="e">
        <f>X25*(1+'Tenure Split (WALES)'!F$118)</f>
        <v>#VALUE!</v>
      </c>
      <c r="Z25" s="4" t="e">
        <f>Y25*(1+'Tenure Split (WALES)'!G$118)</f>
        <v>#VALUE!</v>
      </c>
      <c r="AB25" s="1">
        <v>31</v>
      </c>
      <c r="AC25" s="4">
        <f>IF('Tenure Split (WALES)'!$D$18="Land Registry Data",'House Prices (SE Wales)'!D25,'House Prices (SE Wales)'!V25)</f>
        <v>121351.85906458515</v>
      </c>
      <c r="AD25" s="4">
        <f>IF('Tenure Split (WALES)'!$D$18="Land Registry Data",'House Prices (SE Wales)'!E25,'House Prices (SE Wales)'!W25)</f>
        <v>121622.05562185071</v>
      </c>
      <c r="AE25" s="4">
        <f>IF('Tenure Split (WALES)'!$D$18="Land Registry Data",'House Prices (SE Wales)'!F25,'House Prices (SE Wales)'!X25)</f>
        <v>124239.89496689891</v>
      </c>
      <c r="AF25" s="4">
        <f>IF('Tenure Split (WALES)'!$D$18="Land Registry Data",'House Prices (SE Wales)'!G25,'House Prices (SE Wales)'!Y25)</f>
        <v>129085.14756775212</v>
      </c>
      <c r="AG25" s="4">
        <f>IF('Tenure Split (WALES)'!$D$18="Land Registry Data",'House Prices (SE Wales)'!H25,'House Prices (SE Wales)'!Z25)</f>
        <v>134439.58966579085</v>
      </c>
    </row>
    <row r="26" spans="2:33" x14ac:dyDescent="0.25">
      <c r="B26" s="20">
        <v>32</v>
      </c>
      <c r="C26" s="58">
        <v>120000</v>
      </c>
      <c r="D26" s="59">
        <f>C26*(1+'Tenure Split (SE Wales)'!C$118)</f>
        <v>123408.67023517133</v>
      </c>
      <c r="E26" s="59">
        <f>D26*(1+'Tenure Split (SE Wales)'!D$118)</f>
        <v>123683.44639510241</v>
      </c>
      <c r="F26" s="59">
        <f>E26*(1+'Tenure Split (SE Wales)'!E$118)</f>
        <v>126345.65589854126</v>
      </c>
      <c r="G26" s="59">
        <f>F26*(1+'Tenure Split (SE Wales)'!F$118)</f>
        <v>131273.03142483268</v>
      </c>
      <c r="H26" s="60">
        <f>G26*(1+'Tenure Split (SE Wales)'!G$118)</f>
        <v>136718.22677877033</v>
      </c>
      <c r="L26" s="64" t="str">
        <f t="shared" si="0"/>
        <v/>
      </c>
      <c r="M26" s="264"/>
      <c r="N26" s="14">
        <f t="shared" si="3"/>
        <v>1</v>
      </c>
      <c r="T26" s="1">
        <f t="shared" si="1"/>
        <v>32</v>
      </c>
      <c r="U26" s="4" t="str">
        <f t="shared" si="2"/>
        <v/>
      </c>
      <c r="V26" s="4" t="e">
        <f>IF($V$3=$M$3,M26,U26*(1+'Tenure Split (WALES)'!C$118))</f>
        <v>#VALUE!</v>
      </c>
      <c r="W26" s="4" t="e">
        <f>V26*(1+'Tenure Split (WALES)'!D$118)</f>
        <v>#VALUE!</v>
      </c>
      <c r="X26" s="4" t="e">
        <f>W26*(1+'Tenure Split (WALES)'!E$118)</f>
        <v>#VALUE!</v>
      </c>
      <c r="Y26" s="4" t="e">
        <f>X26*(1+'Tenure Split (WALES)'!F$118)</f>
        <v>#VALUE!</v>
      </c>
      <c r="Z26" s="4" t="e">
        <f>Y26*(1+'Tenure Split (WALES)'!G$118)</f>
        <v>#VALUE!</v>
      </c>
      <c r="AB26" s="1">
        <v>32</v>
      </c>
      <c r="AC26" s="4">
        <f>IF('Tenure Split (WALES)'!$D$18="Land Registry Data",'House Prices (SE Wales)'!D26,'House Prices (SE Wales)'!V26)</f>
        <v>123408.67023517133</v>
      </c>
      <c r="AD26" s="4">
        <f>IF('Tenure Split (WALES)'!$D$18="Land Registry Data",'House Prices (SE Wales)'!E26,'House Prices (SE Wales)'!W26)</f>
        <v>123683.44639510241</v>
      </c>
      <c r="AE26" s="4">
        <f>IF('Tenure Split (WALES)'!$D$18="Land Registry Data",'House Prices (SE Wales)'!F26,'House Prices (SE Wales)'!X26)</f>
        <v>126345.65589854126</v>
      </c>
      <c r="AF26" s="4">
        <f>IF('Tenure Split (WALES)'!$D$18="Land Registry Data",'House Prices (SE Wales)'!G26,'House Prices (SE Wales)'!Y26)</f>
        <v>131273.03142483268</v>
      </c>
      <c r="AG26" s="4">
        <f>IF('Tenure Split (WALES)'!$D$18="Land Registry Data",'House Prices (SE Wales)'!H26,'House Prices (SE Wales)'!Z26)</f>
        <v>136718.22677877033</v>
      </c>
    </row>
    <row r="27" spans="2:33" x14ac:dyDescent="0.25">
      <c r="B27" s="20">
        <v>33</v>
      </c>
      <c r="C27" s="58">
        <v>121000</v>
      </c>
      <c r="D27" s="59">
        <f>C27*(1+'Tenure Split (SE Wales)'!C$118)</f>
        <v>124437.07582046442</v>
      </c>
      <c r="E27" s="59">
        <f>D27*(1+'Tenure Split (SE Wales)'!D$118)</f>
        <v>124714.14178172825</v>
      </c>
      <c r="F27" s="59">
        <f>E27*(1+'Tenure Split (SE Wales)'!E$118)</f>
        <v>127398.53636436243</v>
      </c>
      <c r="G27" s="59">
        <f>F27*(1+'Tenure Split (SE Wales)'!F$118)</f>
        <v>132366.97335337292</v>
      </c>
      <c r="H27" s="60">
        <f>G27*(1+'Tenure Split (SE Wales)'!G$118)</f>
        <v>137857.54533526007</v>
      </c>
      <c r="L27" s="64" t="str">
        <f t="shared" si="0"/>
        <v/>
      </c>
      <c r="M27" s="264"/>
      <c r="N27" s="14">
        <f t="shared" si="3"/>
        <v>1</v>
      </c>
      <c r="T27" s="1">
        <f t="shared" si="1"/>
        <v>33</v>
      </c>
      <c r="U27" s="4" t="str">
        <f t="shared" si="2"/>
        <v/>
      </c>
      <c r="V27" s="4" t="e">
        <f>IF($V$3=$M$3,M27,U27*(1+'Tenure Split (WALES)'!C$118))</f>
        <v>#VALUE!</v>
      </c>
      <c r="W27" s="4" t="e">
        <f>V27*(1+'Tenure Split (WALES)'!D$118)</f>
        <v>#VALUE!</v>
      </c>
      <c r="X27" s="4" t="e">
        <f>W27*(1+'Tenure Split (WALES)'!E$118)</f>
        <v>#VALUE!</v>
      </c>
      <c r="Y27" s="4" t="e">
        <f>X27*(1+'Tenure Split (WALES)'!F$118)</f>
        <v>#VALUE!</v>
      </c>
      <c r="Z27" s="4" t="e">
        <f>Y27*(1+'Tenure Split (WALES)'!G$118)</f>
        <v>#VALUE!</v>
      </c>
      <c r="AB27" s="1">
        <v>33</v>
      </c>
      <c r="AC27" s="4">
        <f>IF('Tenure Split (WALES)'!$D$18="Land Registry Data",'House Prices (SE Wales)'!D27,'House Prices (SE Wales)'!V27)</f>
        <v>124437.07582046442</v>
      </c>
      <c r="AD27" s="4">
        <f>IF('Tenure Split (WALES)'!$D$18="Land Registry Data",'House Prices (SE Wales)'!E27,'House Prices (SE Wales)'!W27)</f>
        <v>124714.14178172825</v>
      </c>
      <c r="AE27" s="4">
        <f>IF('Tenure Split (WALES)'!$D$18="Land Registry Data",'House Prices (SE Wales)'!F27,'House Prices (SE Wales)'!X27)</f>
        <v>127398.53636436243</v>
      </c>
      <c r="AF27" s="4">
        <f>IF('Tenure Split (WALES)'!$D$18="Land Registry Data",'House Prices (SE Wales)'!G27,'House Prices (SE Wales)'!Y27)</f>
        <v>132366.97335337292</v>
      </c>
      <c r="AG27" s="4">
        <f>IF('Tenure Split (WALES)'!$D$18="Land Registry Data",'House Prices (SE Wales)'!H27,'House Prices (SE Wales)'!Z27)</f>
        <v>137857.54533526007</v>
      </c>
    </row>
    <row r="28" spans="2:33" x14ac:dyDescent="0.25">
      <c r="B28" s="20">
        <v>34</v>
      </c>
      <c r="C28" s="58">
        <v>124000</v>
      </c>
      <c r="D28" s="59">
        <f>C28*(1+'Tenure Split (SE Wales)'!C$118)</f>
        <v>127522.29257634371</v>
      </c>
      <c r="E28" s="59">
        <f>D28*(1+'Tenure Split (SE Wales)'!D$118)</f>
        <v>127806.22794160582</v>
      </c>
      <c r="F28" s="59">
        <f>E28*(1+'Tenure Split (SE Wales)'!E$118)</f>
        <v>130557.17776182597</v>
      </c>
      <c r="G28" s="59">
        <f>F28*(1+'Tenure Split (SE Wales)'!F$118)</f>
        <v>135648.79913899375</v>
      </c>
      <c r="H28" s="60">
        <f>G28*(1+'Tenure Split (SE Wales)'!G$118)</f>
        <v>141275.50100472933</v>
      </c>
      <c r="L28" s="64" t="str">
        <f t="shared" si="0"/>
        <v/>
      </c>
      <c r="M28" s="264"/>
      <c r="N28" s="14">
        <f t="shared" si="3"/>
        <v>1</v>
      </c>
      <c r="T28" s="1">
        <f t="shared" si="1"/>
        <v>34</v>
      </c>
      <c r="U28" s="4" t="str">
        <f t="shared" si="2"/>
        <v/>
      </c>
      <c r="V28" s="4" t="e">
        <f>IF($V$3=$M$3,M28,U28*(1+'Tenure Split (WALES)'!C$118))</f>
        <v>#VALUE!</v>
      </c>
      <c r="W28" s="4" t="e">
        <f>V28*(1+'Tenure Split (WALES)'!D$118)</f>
        <v>#VALUE!</v>
      </c>
      <c r="X28" s="4" t="e">
        <f>W28*(1+'Tenure Split (WALES)'!E$118)</f>
        <v>#VALUE!</v>
      </c>
      <c r="Y28" s="4" t="e">
        <f>X28*(1+'Tenure Split (WALES)'!F$118)</f>
        <v>#VALUE!</v>
      </c>
      <c r="Z28" s="4" t="e">
        <f>Y28*(1+'Tenure Split (WALES)'!G$118)</f>
        <v>#VALUE!</v>
      </c>
      <c r="AB28" s="1">
        <v>34</v>
      </c>
      <c r="AC28" s="4">
        <f>IF('Tenure Split (WALES)'!$D$18="Land Registry Data",'House Prices (SE Wales)'!D28,'House Prices (SE Wales)'!V28)</f>
        <v>127522.29257634371</v>
      </c>
      <c r="AD28" s="4">
        <f>IF('Tenure Split (WALES)'!$D$18="Land Registry Data",'House Prices (SE Wales)'!E28,'House Prices (SE Wales)'!W28)</f>
        <v>127806.22794160582</v>
      </c>
      <c r="AE28" s="4">
        <f>IF('Tenure Split (WALES)'!$D$18="Land Registry Data",'House Prices (SE Wales)'!F28,'House Prices (SE Wales)'!X28)</f>
        <v>130557.17776182597</v>
      </c>
      <c r="AF28" s="4">
        <f>IF('Tenure Split (WALES)'!$D$18="Land Registry Data",'House Prices (SE Wales)'!G28,'House Prices (SE Wales)'!Y28)</f>
        <v>135648.79913899375</v>
      </c>
      <c r="AG28" s="4">
        <f>IF('Tenure Split (WALES)'!$D$18="Land Registry Data",'House Prices (SE Wales)'!H28,'House Prices (SE Wales)'!Z28)</f>
        <v>141275.50100472933</v>
      </c>
    </row>
    <row r="29" spans="2:33" x14ac:dyDescent="0.25">
      <c r="B29" s="20">
        <v>35</v>
      </c>
      <c r="C29" s="58">
        <v>125000</v>
      </c>
      <c r="D29" s="59">
        <f>C29*(1+'Tenure Split (SE Wales)'!C$118)</f>
        <v>128550.6981616368</v>
      </c>
      <c r="E29" s="59">
        <f>D29*(1+'Tenure Split (SE Wales)'!D$118)</f>
        <v>128836.92332823167</v>
      </c>
      <c r="F29" s="59">
        <f>E29*(1+'Tenure Split (SE Wales)'!E$118)</f>
        <v>131610.05822764715</v>
      </c>
      <c r="G29" s="59">
        <f>F29*(1+'Tenure Split (SE Wales)'!F$118)</f>
        <v>136742.74106753402</v>
      </c>
      <c r="H29" s="60">
        <f>G29*(1+'Tenure Split (SE Wales)'!G$118)</f>
        <v>142414.8195612191</v>
      </c>
      <c r="L29" s="64" t="str">
        <f t="shared" si="0"/>
        <v/>
      </c>
      <c r="M29" s="264"/>
      <c r="N29" s="14">
        <f t="shared" si="3"/>
        <v>1</v>
      </c>
      <c r="T29" s="1">
        <f t="shared" si="1"/>
        <v>35</v>
      </c>
      <c r="U29" s="4" t="str">
        <f t="shared" si="2"/>
        <v/>
      </c>
      <c r="V29" s="4" t="e">
        <f>IF($V$3=$M$3,M29,U29*(1+'Tenure Split (WALES)'!C$118))</f>
        <v>#VALUE!</v>
      </c>
      <c r="W29" s="4" t="e">
        <f>V29*(1+'Tenure Split (WALES)'!D$118)</f>
        <v>#VALUE!</v>
      </c>
      <c r="X29" s="4" t="e">
        <f>W29*(1+'Tenure Split (WALES)'!E$118)</f>
        <v>#VALUE!</v>
      </c>
      <c r="Y29" s="4" t="e">
        <f>X29*(1+'Tenure Split (WALES)'!F$118)</f>
        <v>#VALUE!</v>
      </c>
      <c r="Z29" s="4" t="e">
        <f>Y29*(1+'Tenure Split (WALES)'!G$118)</f>
        <v>#VALUE!</v>
      </c>
      <c r="AB29" s="1">
        <v>35</v>
      </c>
      <c r="AC29" s="4">
        <f>IF('Tenure Split (WALES)'!$D$18="Land Registry Data",'House Prices (SE Wales)'!D29,'House Prices (SE Wales)'!V29)</f>
        <v>128550.6981616368</v>
      </c>
      <c r="AD29" s="4">
        <f>IF('Tenure Split (WALES)'!$D$18="Land Registry Data",'House Prices (SE Wales)'!E29,'House Prices (SE Wales)'!W29)</f>
        <v>128836.92332823167</v>
      </c>
      <c r="AE29" s="4">
        <f>IF('Tenure Split (WALES)'!$D$18="Land Registry Data",'House Prices (SE Wales)'!F29,'House Prices (SE Wales)'!X29)</f>
        <v>131610.05822764715</v>
      </c>
      <c r="AF29" s="4">
        <f>IF('Tenure Split (WALES)'!$D$18="Land Registry Data",'House Prices (SE Wales)'!G29,'House Prices (SE Wales)'!Y29)</f>
        <v>136742.74106753402</v>
      </c>
      <c r="AG29" s="4">
        <f>IF('Tenure Split (WALES)'!$D$18="Land Registry Data",'House Prices (SE Wales)'!H29,'House Prices (SE Wales)'!Z29)</f>
        <v>142414.8195612191</v>
      </c>
    </row>
    <row r="30" spans="2:33" x14ac:dyDescent="0.25">
      <c r="B30" s="20">
        <v>36</v>
      </c>
      <c r="C30" s="58">
        <v>127000</v>
      </c>
      <c r="D30" s="59">
        <f>C30*(1+'Tenure Split (SE Wales)'!C$118)</f>
        <v>130607.50933222299</v>
      </c>
      <c r="E30" s="59">
        <f>D30*(1+'Tenure Split (SE Wales)'!D$118)</f>
        <v>130898.31410148338</v>
      </c>
      <c r="F30" s="59">
        <f>E30*(1+'Tenure Split (SE Wales)'!E$118)</f>
        <v>133715.8191592895</v>
      </c>
      <c r="G30" s="59">
        <f>F30*(1+'Tenure Split (SE Wales)'!F$118)</f>
        <v>138930.62492461456</v>
      </c>
      <c r="H30" s="60">
        <f>G30*(1+'Tenure Split (SE Wales)'!G$118)</f>
        <v>144693.45667419859</v>
      </c>
      <c r="L30" s="64" t="str">
        <f t="shared" si="0"/>
        <v/>
      </c>
      <c r="M30" s="264"/>
      <c r="N30" s="14">
        <f t="shared" si="3"/>
        <v>1</v>
      </c>
      <c r="T30" s="1">
        <f t="shared" si="1"/>
        <v>36</v>
      </c>
      <c r="U30" s="4" t="str">
        <f t="shared" si="2"/>
        <v/>
      </c>
      <c r="V30" s="4" t="e">
        <f>IF($V$3=$M$3,M30,U30*(1+'Tenure Split (WALES)'!C$118))</f>
        <v>#VALUE!</v>
      </c>
      <c r="W30" s="4" t="e">
        <f>V30*(1+'Tenure Split (WALES)'!D$118)</f>
        <v>#VALUE!</v>
      </c>
      <c r="X30" s="4" t="e">
        <f>W30*(1+'Tenure Split (WALES)'!E$118)</f>
        <v>#VALUE!</v>
      </c>
      <c r="Y30" s="4" t="e">
        <f>X30*(1+'Tenure Split (WALES)'!F$118)</f>
        <v>#VALUE!</v>
      </c>
      <c r="Z30" s="4" t="e">
        <f>Y30*(1+'Tenure Split (WALES)'!G$118)</f>
        <v>#VALUE!</v>
      </c>
      <c r="AB30" s="1">
        <v>36</v>
      </c>
      <c r="AC30" s="4">
        <f>IF('Tenure Split (WALES)'!$D$18="Land Registry Data",'House Prices (SE Wales)'!D30,'House Prices (SE Wales)'!V30)</f>
        <v>130607.50933222299</v>
      </c>
      <c r="AD30" s="4">
        <f>IF('Tenure Split (WALES)'!$D$18="Land Registry Data",'House Prices (SE Wales)'!E30,'House Prices (SE Wales)'!W30)</f>
        <v>130898.31410148338</v>
      </c>
      <c r="AE30" s="4">
        <f>IF('Tenure Split (WALES)'!$D$18="Land Registry Data",'House Prices (SE Wales)'!F30,'House Prices (SE Wales)'!X30)</f>
        <v>133715.8191592895</v>
      </c>
      <c r="AF30" s="4">
        <f>IF('Tenure Split (WALES)'!$D$18="Land Registry Data",'House Prices (SE Wales)'!G30,'House Prices (SE Wales)'!Y30)</f>
        <v>138930.62492461456</v>
      </c>
      <c r="AG30" s="4">
        <f>IF('Tenure Split (WALES)'!$D$18="Land Registry Data",'House Prices (SE Wales)'!H30,'House Prices (SE Wales)'!Z30)</f>
        <v>144693.45667419859</v>
      </c>
    </row>
    <row r="31" spans="2:33" x14ac:dyDescent="0.25">
      <c r="B31" s="20">
        <v>37</v>
      </c>
      <c r="C31" s="58">
        <v>129000</v>
      </c>
      <c r="D31" s="59">
        <f>C31*(1+'Tenure Split (SE Wales)'!C$118)</f>
        <v>132664.32050280919</v>
      </c>
      <c r="E31" s="59">
        <f>D31*(1+'Tenure Split (SE Wales)'!D$118)</f>
        <v>132959.70487473509</v>
      </c>
      <c r="F31" s="59">
        <f>E31*(1+'Tenure Split (SE Wales)'!E$118)</f>
        <v>135821.58009093185</v>
      </c>
      <c r="G31" s="59">
        <f>F31*(1+'Tenure Split (SE Wales)'!F$118)</f>
        <v>141118.5087816951</v>
      </c>
      <c r="H31" s="60">
        <f>G31*(1+'Tenure Split (SE Wales)'!G$118)</f>
        <v>146972.09378717808</v>
      </c>
      <c r="L31" s="64" t="str">
        <f t="shared" si="0"/>
        <v/>
      </c>
      <c r="M31" s="264"/>
      <c r="N31" s="14">
        <f t="shared" si="3"/>
        <v>1</v>
      </c>
      <c r="T31" s="1">
        <f t="shared" si="1"/>
        <v>37</v>
      </c>
      <c r="U31" s="4" t="str">
        <f t="shared" si="2"/>
        <v/>
      </c>
      <c r="V31" s="4" t="e">
        <f>IF($V$3=$M$3,M31,U31*(1+'Tenure Split (WALES)'!C$118))</f>
        <v>#VALUE!</v>
      </c>
      <c r="W31" s="4" t="e">
        <f>V31*(1+'Tenure Split (WALES)'!D$118)</f>
        <v>#VALUE!</v>
      </c>
      <c r="X31" s="4" t="e">
        <f>W31*(1+'Tenure Split (WALES)'!E$118)</f>
        <v>#VALUE!</v>
      </c>
      <c r="Y31" s="4" t="e">
        <f>X31*(1+'Tenure Split (WALES)'!F$118)</f>
        <v>#VALUE!</v>
      </c>
      <c r="Z31" s="4" t="e">
        <f>Y31*(1+'Tenure Split (WALES)'!G$118)</f>
        <v>#VALUE!</v>
      </c>
      <c r="AB31" s="1">
        <v>37</v>
      </c>
      <c r="AC31" s="4">
        <f>IF('Tenure Split (WALES)'!$D$18="Land Registry Data",'House Prices (SE Wales)'!D31,'House Prices (SE Wales)'!V31)</f>
        <v>132664.32050280919</v>
      </c>
      <c r="AD31" s="4">
        <f>IF('Tenure Split (WALES)'!$D$18="Land Registry Data",'House Prices (SE Wales)'!E31,'House Prices (SE Wales)'!W31)</f>
        <v>132959.70487473509</v>
      </c>
      <c r="AE31" s="4">
        <f>IF('Tenure Split (WALES)'!$D$18="Land Registry Data",'House Prices (SE Wales)'!F31,'House Prices (SE Wales)'!X31)</f>
        <v>135821.58009093185</v>
      </c>
      <c r="AF31" s="4">
        <f>IF('Tenure Split (WALES)'!$D$18="Land Registry Data",'House Prices (SE Wales)'!G31,'House Prices (SE Wales)'!Y31)</f>
        <v>141118.5087816951</v>
      </c>
      <c r="AG31" s="4">
        <f>IF('Tenure Split (WALES)'!$D$18="Land Registry Data",'House Prices (SE Wales)'!H31,'House Prices (SE Wales)'!Z31)</f>
        <v>146972.09378717808</v>
      </c>
    </row>
    <row r="32" spans="2:33" x14ac:dyDescent="0.25">
      <c r="B32" s="20">
        <v>38</v>
      </c>
      <c r="C32" s="58">
        <v>130000</v>
      </c>
      <c r="D32" s="59">
        <f>C32*(1+'Tenure Split (SE Wales)'!C$118)</f>
        <v>133692.72608810227</v>
      </c>
      <c r="E32" s="59">
        <f>D32*(1+'Tenure Split (SE Wales)'!D$118)</f>
        <v>133990.40026136092</v>
      </c>
      <c r="F32" s="59">
        <f>E32*(1+'Tenure Split (SE Wales)'!E$118)</f>
        <v>136874.46055675301</v>
      </c>
      <c r="G32" s="59">
        <f>F32*(1+'Tenure Split (SE Wales)'!F$118)</f>
        <v>142212.45071023537</v>
      </c>
      <c r="H32" s="60">
        <f>G32*(1+'Tenure Split (SE Wales)'!G$118)</f>
        <v>148111.41234366785</v>
      </c>
      <c r="L32" s="64" t="str">
        <f t="shared" si="0"/>
        <v/>
      </c>
      <c r="M32" s="264"/>
      <c r="N32" s="14">
        <f t="shared" si="3"/>
        <v>1</v>
      </c>
      <c r="T32" s="1">
        <f t="shared" si="1"/>
        <v>38</v>
      </c>
      <c r="U32" s="4" t="str">
        <f t="shared" si="2"/>
        <v/>
      </c>
      <c r="V32" s="4" t="e">
        <f>IF($V$3=$M$3,M32,U32*(1+'Tenure Split (WALES)'!C$118))</f>
        <v>#VALUE!</v>
      </c>
      <c r="W32" s="4" t="e">
        <f>V32*(1+'Tenure Split (WALES)'!D$118)</f>
        <v>#VALUE!</v>
      </c>
      <c r="X32" s="4" t="e">
        <f>W32*(1+'Tenure Split (WALES)'!E$118)</f>
        <v>#VALUE!</v>
      </c>
      <c r="Y32" s="4" t="e">
        <f>X32*(1+'Tenure Split (WALES)'!F$118)</f>
        <v>#VALUE!</v>
      </c>
      <c r="Z32" s="4" t="e">
        <f>Y32*(1+'Tenure Split (WALES)'!G$118)</f>
        <v>#VALUE!</v>
      </c>
      <c r="AB32" s="1">
        <v>38</v>
      </c>
      <c r="AC32" s="4">
        <f>IF('Tenure Split (WALES)'!$D$18="Land Registry Data",'House Prices (SE Wales)'!D32,'House Prices (SE Wales)'!V32)</f>
        <v>133692.72608810227</v>
      </c>
      <c r="AD32" s="4">
        <f>IF('Tenure Split (WALES)'!$D$18="Land Registry Data",'House Prices (SE Wales)'!E32,'House Prices (SE Wales)'!W32)</f>
        <v>133990.40026136092</v>
      </c>
      <c r="AE32" s="4">
        <f>IF('Tenure Split (WALES)'!$D$18="Land Registry Data",'House Prices (SE Wales)'!F32,'House Prices (SE Wales)'!X32)</f>
        <v>136874.46055675301</v>
      </c>
      <c r="AF32" s="4">
        <f>IF('Tenure Split (WALES)'!$D$18="Land Registry Data",'House Prices (SE Wales)'!G32,'House Prices (SE Wales)'!Y32)</f>
        <v>142212.45071023537</v>
      </c>
      <c r="AG32" s="4">
        <f>IF('Tenure Split (WALES)'!$D$18="Land Registry Data",'House Prices (SE Wales)'!H32,'House Prices (SE Wales)'!Z32)</f>
        <v>148111.41234366785</v>
      </c>
    </row>
    <row r="33" spans="2:33" x14ac:dyDescent="0.25">
      <c r="B33" s="20">
        <v>39</v>
      </c>
      <c r="C33" s="58">
        <v>132000</v>
      </c>
      <c r="D33" s="59">
        <f>C33*(1+'Tenure Split (SE Wales)'!C$118)</f>
        <v>135749.53725868848</v>
      </c>
      <c r="E33" s="59">
        <f>D33*(1+'Tenure Split (SE Wales)'!D$118)</f>
        <v>136051.79103461266</v>
      </c>
      <c r="F33" s="59">
        <f>E33*(1+'Tenure Split (SE Wales)'!E$118)</f>
        <v>138980.22148839539</v>
      </c>
      <c r="G33" s="59">
        <f>F33*(1+'Tenure Split (SE Wales)'!F$118)</f>
        <v>144400.33456731593</v>
      </c>
      <c r="H33" s="60">
        <f>G33*(1+'Tenure Split (SE Wales)'!G$118)</f>
        <v>150390.04945664736</v>
      </c>
      <c r="L33" s="64" t="str">
        <f t="shared" si="0"/>
        <v/>
      </c>
      <c r="M33" s="264"/>
      <c r="N33" s="14">
        <f t="shared" si="3"/>
        <v>1</v>
      </c>
      <c r="T33" s="1">
        <f t="shared" si="1"/>
        <v>39</v>
      </c>
      <c r="U33" s="4" t="str">
        <f t="shared" si="2"/>
        <v/>
      </c>
      <c r="V33" s="4" t="e">
        <f>IF($V$3=$M$3,M33,U33*(1+'Tenure Split (WALES)'!C$118))</f>
        <v>#VALUE!</v>
      </c>
      <c r="W33" s="4" t="e">
        <f>V33*(1+'Tenure Split (WALES)'!D$118)</f>
        <v>#VALUE!</v>
      </c>
      <c r="X33" s="4" t="e">
        <f>W33*(1+'Tenure Split (WALES)'!E$118)</f>
        <v>#VALUE!</v>
      </c>
      <c r="Y33" s="4" t="e">
        <f>X33*(1+'Tenure Split (WALES)'!F$118)</f>
        <v>#VALUE!</v>
      </c>
      <c r="Z33" s="4" t="e">
        <f>Y33*(1+'Tenure Split (WALES)'!G$118)</f>
        <v>#VALUE!</v>
      </c>
      <c r="AB33" s="1">
        <v>39</v>
      </c>
      <c r="AC33" s="4">
        <f>IF('Tenure Split (WALES)'!$D$18="Land Registry Data",'House Prices (SE Wales)'!D33,'House Prices (SE Wales)'!V33)</f>
        <v>135749.53725868848</v>
      </c>
      <c r="AD33" s="4">
        <f>IF('Tenure Split (WALES)'!$D$18="Land Registry Data",'House Prices (SE Wales)'!E33,'House Prices (SE Wales)'!W33)</f>
        <v>136051.79103461266</v>
      </c>
      <c r="AE33" s="4">
        <f>IF('Tenure Split (WALES)'!$D$18="Land Registry Data",'House Prices (SE Wales)'!F33,'House Prices (SE Wales)'!X33)</f>
        <v>138980.22148839539</v>
      </c>
      <c r="AF33" s="4">
        <f>IF('Tenure Split (WALES)'!$D$18="Land Registry Data",'House Prices (SE Wales)'!G33,'House Prices (SE Wales)'!Y33)</f>
        <v>144400.33456731593</v>
      </c>
      <c r="AG33" s="4">
        <f>IF('Tenure Split (WALES)'!$D$18="Land Registry Data",'House Prices (SE Wales)'!H33,'House Prices (SE Wales)'!Z33)</f>
        <v>150390.04945664736</v>
      </c>
    </row>
    <row r="34" spans="2:33" x14ac:dyDescent="0.25">
      <c r="B34" s="20">
        <v>40</v>
      </c>
      <c r="C34" s="58">
        <v>134950</v>
      </c>
      <c r="D34" s="59">
        <f>C34*(1+'Tenure Split (SE Wales)'!C$118)</f>
        <v>138783.33373530311</v>
      </c>
      <c r="E34" s="59">
        <f>D34*(1+'Tenure Split (SE Wales)'!D$118)</f>
        <v>139092.34242515892</v>
      </c>
      <c r="F34" s="59">
        <f>E34*(1+'Tenure Split (SE Wales)'!E$118)</f>
        <v>142086.21886256785</v>
      </c>
      <c r="G34" s="59">
        <f>F34*(1+'Tenure Split (SE Wales)'!F$118)</f>
        <v>147627.46325650974</v>
      </c>
      <c r="H34" s="60">
        <f>G34*(1+'Tenure Split (SE Wales)'!G$118)</f>
        <v>153751.03919829216</v>
      </c>
      <c r="L34" s="64" t="str">
        <f t="shared" si="0"/>
        <v/>
      </c>
      <c r="M34" s="264"/>
      <c r="N34" s="14">
        <f t="shared" si="3"/>
        <v>1</v>
      </c>
      <c r="T34" s="1">
        <f t="shared" si="1"/>
        <v>40</v>
      </c>
      <c r="U34" s="4" t="str">
        <f t="shared" si="2"/>
        <v/>
      </c>
      <c r="V34" s="4" t="e">
        <f>IF($V$3=$M$3,M34,U34*(1+'Tenure Split (WALES)'!C$118))</f>
        <v>#VALUE!</v>
      </c>
      <c r="W34" s="4" t="e">
        <f>V34*(1+'Tenure Split (WALES)'!D$118)</f>
        <v>#VALUE!</v>
      </c>
      <c r="X34" s="4" t="e">
        <f>W34*(1+'Tenure Split (WALES)'!E$118)</f>
        <v>#VALUE!</v>
      </c>
      <c r="Y34" s="4" t="e">
        <f>X34*(1+'Tenure Split (WALES)'!F$118)</f>
        <v>#VALUE!</v>
      </c>
      <c r="Z34" s="4" t="e">
        <f>Y34*(1+'Tenure Split (WALES)'!G$118)</f>
        <v>#VALUE!</v>
      </c>
      <c r="AB34" s="1">
        <v>40</v>
      </c>
      <c r="AC34" s="4">
        <f>IF('Tenure Split (WALES)'!$D$18="Land Registry Data",'House Prices (SE Wales)'!D34,'House Prices (SE Wales)'!V34)</f>
        <v>138783.33373530311</v>
      </c>
      <c r="AD34" s="4">
        <f>IF('Tenure Split (WALES)'!$D$18="Land Registry Data",'House Prices (SE Wales)'!E34,'House Prices (SE Wales)'!W34)</f>
        <v>139092.34242515892</v>
      </c>
      <c r="AE34" s="4">
        <f>IF('Tenure Split (WALES)'!$D$18="Land Registry Data",'House Prices (SE Wales)'!F34,'House Prices (SE Wales)'!X34)</f>
        <v>142086.21886256785</v>
      </c>
      <c r="AF34" s="4">
        <f>IF('Tenure Split (WALES)'!$D$18="Land Registry Data",'House Prices (SE Wales)'!G34,'House Prices (SE Wales)'!Y34)</f>
        <v>147627.46325650974</v>
      </c>
      <c r="AG34" s="4">
        <f>IF('Tenure Split (WALES)'!$D$18="Land Registry Data",'House Prices (SE Wales)'!H34,'House Prices (SE Wales)'!Z34)</f>
        <v>153751.03919829216</v>
      </c>
    </row>
    <row r="35" spans="2:33" x14ac:dyDescent="0.25">
      <c r="B35" s="20">
        <v>41</v>
      </c>
      <c r="C35" s="58">
        <v>135000</v>
      </c>
      <c r="D35" s="59">
        <f>C35*(1+'Tenure Split (SE Wales)'!C$118)</f>
        <v>138834.75401456776</v>
      </c>
      <c r="E35" s="59">
        <f>D35*(1+'Tenure Split (SE Wales)'!D$118)</f>
        <v>139143.87719449023</v>
      </c>
      <c r="F35" s="59">
        <f>E35*(1+'Tenure Split (SE Wales)'!E$118)</f>
        <v>142138.86288585892</v>
      </c>
      <c r="G35" s="59">
        <f>F35*(1+'Tenure Split (SE Wales)'!F$118)</f>
        <v>147682.16035293674</v>
      </c>
      <c r="H35" s="60">
        <f>G35*(1+'Tenure Split (SE Wales)'!G$118)</f>
        <v>153808.00512611662</v>
      </c>
      <c r="L35" s="64" t="str">
        <f t="shared" si="0"/>
        <v/>
      </c>
      <c r="M35" s="264"/>
      <c r="N35" s="14">
        <f t="shared" si="3"/>
        <v>1</v>
      </c>
      <c r="T35" s="1">
        <f t="shared" si="1"/>
        <v>41</v>
      </c>
      <c r="U35" s="4" t="str">
        <f t="shared" si="2"/>
        <v/>
      </c>
      <c r="V35" s="4" t="e">
        <f>IF($V$3=$M$3,M35,U35*(1+'Tenure Split (WALES)'!C$118))</f>
        <v>#VALUE!</v>
      </c>
      <c r="W35" s="4" t="e">
        <f>V35*(1+'Tenure Split (WALES)'!D$118)</f>
        <v>#VALUE!</v>
      </c>
      <c r="X35" s="4" t="e">
        <f>W35*(1+'Tenure Split (WALES)'!E$118)</f>
        <v>#VALUE!</v>
      </c>
      <c r="Y35" s="4" t="e">
        <f>X35*(1+'Tenure Split (WALES)'!F$118)</f>
        <v>#VALUE!</v>
      </c>
      <c r="Z35" s="4" t="e">
        <f>Y35*(1+'Tenure Split (WALES)'!G$118)</f>
        <v>#VALUE!</v>
      </c>
      <c r="AB35" s="1">
        <v>41</v>
      </c>
      <c r="AC35" s="4">
        <f>IF('Tenure Split (WALES)'!$D$18="Land Registry Data",'House Prices (SE Wales)'!D35,'House Prices (SE Wales)'!V35)</f>
        <v>138834.75401456776</v>
      </c>
      <c r="AD35" s="4">
        <f>IF('Tenure Split (WALES)'!$D$18="Land Registry Data",'House Prices (SE Wales)'!E35,'House Prices (SE Wales)'!W35)</f>
        <v>139143.87719449023</v>
      </c>
      <c r="AE35" s="4">
        <f>IF('Tenure Split (WALES)'!$D$18="Land Registry Data",'House Prices (SE Wales)'!F35,'House Prices (SE Wales)'!X35)</f>
        <v>142138.86288585892</v>
      </c>
      <c r="AF35" s="4">
        <f>IF('Tenure Split (WALES)'!$D$18="Land Registry Data",'House Prices (SE Wales)'!G35,'House Prices (SE Wales)'!Y35)</f>
        <v>147682.16035293674</v>
      </c>
      <c r="AG35" s="4">
        <f>IF('Tenure Split (WALES)'!$D$18="Land Registry Data",'House Prices (SE Wales)'!H35,'House Prices (SE Wales)'!Z35)</f>
        <v>153808.00512611662</v>
      </c>
    </row>
    <row r="36" spans="2:33" x14ac:dyDescent="0.25">
      <c r="B36" s="20">
        <v>42</v>
      </c>
      <c r="C36" s="58">
        <v>137950</v>
      </c>
      <c r="D36" s="59">
        <f>C36*(1+'Tenure Split (SE Wales)'!C$118)</f>
        <v>141868.55049118237</v>
      </c>
      <c r="E36" s="59">
        <f>D36*(1+'Tenure Split (SE Wales)'!D$118)</f>
        <v>142184.42858503645</v>
      </c>
      <c r="F36" s="59">
        <f>E36*(1+'Tenure Split (SE Wales)'!E$118)</f>
        <v>145244.86026003136</v>
      </c>
      <c r="G36" s="59">
        <f>F36*(1+'Tenure Split (SE Wales)'!F$118)</f>
        <v>150909.28904213052</v>
      </c>
      <c r="H36" s="60">
        <f>G36*(1+'Tenure Split (SE Wales)'!G$118)</f>
        <v>157168.99486776136</v>
      </c>
      <c r="L36" s="64" t="str">
        <f t="shared" si="0"/>
        <v/>
      </c>
      <c r="M36" s="264"/>
      <c r="N36" s="14">
        <f t="shared" si="3"/>
        <v>1</v>
      </c>
      <c r="T36" s="1">
        <f t="shared" si="1"/>
        <v>42</v>
      </c>
      <c r="U36" s="4" t="str">
        <f t="shared" si="2"/>
        <v/>
      </c>
      <c r="V36" s="4" t="e">
        <f>IF($V$3=$M$3,M36,U36*(1+'Tenure Split (WALES)'!C$118))</f>
        <v>#VALUE!</v>
      </c>
      <c r="W36" s="4" t="e">
        <f>V36*(1+'Tenure Split (WALES)'!D$118)</f>
        <v>#VALUE!</v>
      </c>
      <c r="X36" s="4" t="e">
        <f>W36*(1+'Tenure Split (WALES)'!E$118)</f>
        <v>#VALUE!</v>
      </c>
      <c r="Y36" s="4" t="e">
        <f>X36*(1+'Tenure Split (WALES)'!F$118)</f>
        <v>#VALUE!</v>
      </c>
      <c r="Z36" s="4" t="e">
        <f>Y36*(1+'Tenure Split (WALES)'!G$118)</f>
        <v>#VALUE!</v>
      </c>
      <c r="AB36" s="1">
        <v>42</v>
      </c>
      <c r="AC36" s="4">
        <f>IF('Tenure Split (WALES)'!$D$18="Land Registry Data",'House Prices (SE Wales)'!D36,'House Prices (SE Wales)'!V36)</f>
        <v>141868.55049118237</v>
      </c>
      <c r="AD36" s="4">
        <f>IF('Tenure Split (WALES)'!$D$18="Land Registry Data",'House Prices (SE Wales)'!E36,'House Prices (SE Wales)'!W36)</f>
        <v>142184.42858503645</v>
      </c>
      <c r="AE36" s="4">
        <f>IF('Tenure Split (WALES)'!$D$18="Land Registry Data",'House Prices (SE Wales)'!F36,'House Prices (SE Wales)'!X36)</f>
        <v>145244.86026003136</v>
      </c>
      <c r="AF36" s="4">
        <f>IF('Tenure Split (WALES)'!$D$18="Land Registry Data",'House Prices (SE Wales)'!G36,'House Prices (SE Wales)'!Y36)</f>
        <v>150909.28904213052</v>
      </c>
      <c r="AG36" s="4">
        <f>IF('Tenure Split (WALES)'!$D$18="Land Registry Data",'House Prices (SE Wales)'!H36,'House Prices (SE Wales)'!Z36)</f>
        <v>157168.99486776136</v>
      </c>
    </row>
    <row r="37" spans="2:33" x14ac:dyDescent="0.25">
      <c r="B37" s="20">
        <v>43</v>
      </c>
      <c r="C37" s="58">
        <v>140000</v>
      </c>
      <c r="D37" s="59">
        <f>C37*(1+'Tenure Split (SE Wales)'!C$118)</f>
        <v>143976.78194103323</v>
      </c>
      <c r="E37" s="59">
        <f>D37*(1+'Tenure Split (SE Wales)'!D$118)</f>
        <v>144297.35412761947</v>
      </c>
      <c r="F37" s="59">
        <f>E37*(1+'Tenure Split (SE Wales)'!E$118)</f>
        <v>147403.26521496481</v>
      </c>
      <c r="G37" s="59">
        <f>F37*(1+'Tenure Split (SE Wales)'!F$118)</f>
        <v>153151.86999563812</v>
      </c>
      <c r="H37" s="60">
        <f>G37*(1+'Tenure Split (SE Wales)'!G$118)</f>
        <v>159504.5979085654</v>
      </c>
      <c r="L37" s="64" t="str">
        <f t="shared" si="0"/>
        <v/>
      </c>
      <c r="M37" s="264"/>
      <c r="N37" s="14">
        <f t="shared" si="3"/>
        <v>1</v>
      </c>
      <c r="T37" s="1">
        <f t="shared" si="1"/>
        <v>43</v>
      </c>
      <c r="U37" s="4" t="str">
        <f t="shared" si="2"/>
        <v/>
      </c>
      <c r="V37" s="4" t="e">
        <f>IF($V$3=$M$3,M37,U37*(1+'Tenure Split (WALES)'!C$118))</f>
        <v>#VALUE!</v>
      </c>
      <c r="W37" s="4" t="e">
        <f>V37*(1+'Tenure Split (WALES)'!D$118)</f>
        <v>#VALUE!</v>
      </c>
      <c r="X37" s="4" t="e">
        <f>W37*(1+'Tenure Split (WALES)'!E$118)</f>
        <v>#VALUE!</v>
      </c>
      <c r="Y37" s="4" t="e">
        <f>X37*(1+'Tenure Split (WALES)'!F$118)</f>
        <v>#VALUE!</v>
      </c>
      <c r="Z37" s="4" t="e">
        <f>Y37*(1+'Tenure Split (WALES)'!G$118)</f>
        <v>#VALUE!</v>
      </c>
      <c r="AB37" s="1">
        <v>43</v>
      </c>
      <c r="AC37" s="4">
        <f>IF('Tenure Split (WALES)'!$D$18="Land Registry Data",'House Prices (SE Wales)'!D37,'House Prices (SE Wales)'!V37)</f>
        <v>143976.78194103323</v>
      </c>
      <c r="AD37" s="4">
        <f>IF('Tenure Split (WALES)'!$D$18="Land Registry Data",'House Prices (SE Wales)'!E37,'House Prices (SE Wales)'!W37)</f>
        <v>144297.35412761947</v>
      </c>
      <c r="AE37" s="4">
        <f>IF('Tenure Split (WALES)'!$D$18="Land Registry Data",'House Prices (SE Wales)'!F37,'House Prices (SE Wales)'!X37)</f>
        <v>147403.26521496481</v>
      </c>
      <c r="AF37" s="4">
        <f>IF('Tenure Split (WALES)'!$D$18="Land Registry Data",'House Prices (SE Wales)'!G37,'House Prices (SE Wales)'!Y37)</f>
        <v>153151.86999563812</v>
      </c>
      <c r="AG37" s="4">
        <f>IF('Tenure Split (WALES)'!$D$18="Land Registry Data",'House Prices (SE Wales)'!H37,'House Prices (SE Wales)'!Z37)</f>
        <v>159504.5979085654</v>
      </c>
    </row>
    <row r="38" spans="2:33" x14ac:dyDescent="0.25">
      <c r="B38" s="20">
        <v>44</v>
      </c>
      <c r="C38" s="58">
        <v>141000</v>
      </c>
      <c r="D38" s="59">
        <f>C38*(1+'Tenure Split (SE Wales)'!C$118)</f>
        <v>145005.18752632631</v>
      </c>
      <c r="E38" s="59">
        <f>D38*(1+'Tenure Split (SE Wales)'!D$118)</f>
        <v>145328.04951424533</v>
      </c>
      <c r="F38" s="59">
        <f>E38*(1+'Tenure Split (SE Wales)'!E$118)</f>
        <v>148456.14568078596</v>
      </c>
      <c r="G38" s="59">
        <f>F38*(1+'Tenure Split (SE Wales)'!F$118)</f>
        <v>154245.81192417836</v>
      </c>
      <c r="H38" s="60">
        <f>G38*(1+'Tenure Split (SE Wales)'!G$118)</f>
        <v>160643.91646505511</v>
      </c>
      <c r="L38" s="64" t="str">
        <f t="shared" si="0"/>
        <v/>
      </c>
      <c r="M38" s="264"/>
      <c r="N38" s="14">
        <f t="shared" si="3"/>
        <v>1</v>
      </c>
      <c r="T38" s="1">
        <f t="shared" si="1"/>
        <v>44</v>
      </c>
      <c r="U38" s="4" t="str">
        <f t="shared" si="2"/>
        <v/>
      </c>
      <c r="V38" s="4" t="e">
        <f>IF($V$3=$M$3,M38,U38*(1+'Tenure Split (WALES)'!C$118))</f>
        <v>#VALUE!</v>
      </c>
      <c r="W38" s="4" t="e">
        <f>V38*(1+'Tenure Split (WALES)'!D$118)</f>
        <v>#VALUE!</v>
      </c>
      <c r="X38" s="4" t="e">
        <f>W38*(1+'Tenure Split (WALES)'!E$118)</f>
        <v>#VALUE!</v>
      </c>
      <c r="Y38" s="4" t="e">
        <f>X38*(1+'Tenure Split (WALES)'!F$118)</f>
        <v>#VALUE!</v>
      </c>
      <c r="Z38" s="4" t="e">
        <f>Y38*(1+'Tenure Split (WALES)'!G$118)</f>
        <v>#VALUE!</v>
      </c>
      <c r="AB38" s="1">
        <v>44</v>
      </c>
      <c r="AC38" s="4">
        <f>IF('Tenure Split (WALES)'!$D$18="Land Registry Data",'House Prices (SE Wales)'!D38,'House Prices (SE Wales)'!V38)</f>
        <v>145005.18752632631</v>
      </c>
      <c r="AD38" s="4">
        <f>IF('Tenure Split (WALES)'!$D$18="Land Registry Data",'House Prices (SE Wales)'!E38,'House Prices (SE Wales)'!W38)</f>
        <v>145328.04951424533</v>
      </c>
      <c r="AE38" s="4">
        <f>IF('Tenure Split (WALES)'!$D$18="Land Registry Data",'House Prices (SE Wales)'!F38,'House Prices (SE Wales)'!X38)</f>
        <v>148456.14568078596</v>
      </c>
      <c r="AF38" s="4">
        <f>IF('Tenure Split (WALES)'!$D$18="Land Registry Data",'House Prices (SE Wales)'!G38,'House Prices (SE Wales)'!Y38)</f>
        <v>154245.81192417836</v>
      </c>
      <c r="AG38" s="4">
        <f>IF('Tenure Split (WALES)'!$D$18="Land Registry Data",'House Prices (SE Wales)'!H38,'House Prices (SE Wales)'!Z38)</f>
        <v>160643.91646505511</v>
      </c>
    </row>
    <row r="39" spans="2:33" x14ac:dyDescent="0.25">
      <c r="B39" s="20">
        <v>45</v>
      </c>
      <c r="C39" s="58">
        <v>144000</v>
      </c>
      <c r="D39" s="59">
        <f>C39*(1+'Tenure Split (SE Wales)'!C$118)</f>
        <v>148090.40428220559</v>
      </c>
      <c r="E39" s="59">
        <f>D39*(1+'Tenure Split (SE Wales)'!D$118)</f>
        <v>148420.13567412287</v>
      </c>
      <c r="F39" s="59">
        <f>E39*(1+'Tenure Split (SE Wales)'!E$118)</f>
        <v>151614.78707824947</v>
      </c>
      <c r="G39" s="59">
        <f>F39*(1+'Tenure Split (SE Wales)'!F$118)</f>
        <v>157527.63770979916</v>
      </c>
      <c r="H39" s="60">
        <f>G39*(1+'Tenure Split (SE Wales)'!G$118)</f>
        <v>164061.87213452437</v>
      </c>
      <c r="L39" s="64" t="str">
        <f t="shared" si="0"/>
        <v/>
      </c>
      <c r="M39" s="264"/>
      <c r="N39" s="14">
        <f t="shared" si="3"/>
        <v>1</v>
      </c>
      <c r="T39" s="1">
        <f t="shared" si="1"/>
        <v>45</v>
      </c>
      <c r="U39" s="4" t="str">
        <f t="shared" si="2"/>
        <v/>
      </c>
      <c r="V39" s="4" t="e">
        <f>IF($V$3=$M$3,M39,U39*(1+'Tenure Split (WALES)'!C$118))</f>
        <v>#VALUE!</v>
      </c>
      <c r="W39" s="4" t="e">
        <f>V39*(1+'Tenure Split (WALES)'!D$118)</f>
        <v>#VALUE!</v>
      </c>
      <c r="X39" s="4" t="e">
        <f>W39*(1+'Tenure Split (WALES)'!E$118)</f>
        <v>#VALUE!</v>
      </c>
      <c r="Y39" s="4" t="e">
        <f>X39*(1+'Tenure Split (WALES)'!F$118)</f>
        <v>#VALUE!</v>
      </c>
      <c r="Z39" s="4" t="e">
        <f>Y39*(1+'Tenure Split (WALES)'!G$118)</f>
        <v>#VALUE!</v>
      </c>
      <c r="AB39" s="1">
        <v>45</v>
      </c>
      <c r="AC39" s="4">
        <f>IF('Tenure Split (WALES)'!$D$18="Land Registry Data",'House Prices (SE Wales)'!D39,'House Prices (SE Wales)'!V39)</f>
        <v>148090.40428220559</v>
      </c>
      <c r="AD39" s="4">
        <f>IF('Tenure Split (WALES)'!$D$18="Land Registry Data",'House Prices (SE Wales)'!E39,'House Prices (SE Wales)'!W39)</f>
        <v>148420.13567412287</v>
      </c>
      <c r="AE39" s="4">
        <f>IF('Tenure Split (WALES)'!$D$18="Land Registry Data",'House Prices (SE Wales)'!F39,'House Prices (SE Wales)'!X39)</f>
        <v>151614.78707824947</v>
      </c>
      <c r="AF39" s="4">
        <f>IF('Tenure Split (WALES)'!$D$18="Land Registry Data",'House Prices (SE Wales)'!G39,'House Prices (SE Wales)'!Y39)</f>
        <v>157527.63770979916</v>
      </c>
      <c r="AG39" s="4">
        <f>IF('Tenure Split (WALES)'!$D$18="Land Registry Data",'House Prices (SE Wales)'!H39,'House Prices (SE Wales)'!Z39)</f>
        <v>164061.87213452437</v>
      </c>
    </row>
    <row r="40" spans="2:33" x14ac:dyDescent="0.25">
      <c r="B40" s="20">
        <v>46</v>
      </c>
      <c r="C40" s="58">
        <v>145000</v>
      </c>
      <c r="D40" s="59">
        <f>C40*(1+'Tenure Split (SE Wales)'!C$118)</f>
        <v>149118.8098674987</v>
      </c>
      <c r="E40" s="59">
        <f>D40*(1+'Tenure Split (SE Wales)'!D$118)</f>
        <v>149450.83106074875</v>
      </c>
      <c r="F40" s="59">
        <f>E40*(1+'Tenure Split (SE Wales)'!E$118)</f>
        <v>152667.66754407069</v>
      </c>
      <c r="G40" s="59">
        <f>F40*(1+'Tenure Split (SE Wales)'!F$118)</f>
        <v>158621.57963833946</v>
      </c>
      <c r="H40" s="60">
        <f>G40*(1+'Tenure Split (SE Wales)'!G$118)</f>
        <v>165201.19069101414</v>
      </c>
      <c r="L40" s="64" t="str">
        <f t="shared" si="0"/>
        <v/>
      </c>
      <c r="M40" s="264"/>
      <c r="N40" s="14">
        <f t="shared" si="3"/>
        <v>1</v>
      </c>
      <c r="T40" s="1">
        <f t="shared" si="1"/>
        <v>46</v>
      </c>
      <c r="U40" s="4" t="str">
        <f t="shared" si="2"/>
        <v/>
      </c>
      <c r="V40" s="4" t="e">
        <f>IF($V$3=$M$3,M40,U40*(1+'Tenure Split (WALES)'!C$118))</f>
        <v>#VALUE!</v>
      </c>
      <c r="W40" s="4" t="e">
        <f>V40*(1+'Tenure Split (WALES)'!D$118)</f>
        <v>#VALUE!</v>
      </c>
      <c r="X40" s="4" t="e">
        <f>W40*(1+'Tenure Split (WALES)'!E$118)</f>
        <v>#VALUE!</v>
      </c>
      <c r="Y40" s="4" t="e">
        <f>X40*(1+'Tenure Split (WALES)'!F$118)</f>
        <v>#VALUE!</v>
      </c>
      <c r="Z40" s="4" t="e">
        <f>Y40*(1+'Tenure Split (WALES)'!G$118)</f>
        <v>#VALUE!</v>
      </c>
      <c r="AB40" s="1">
        <v>46</v>
      </c>
      <c r="AC40" s="4">
        <f>IF('Tenure Split (WALES)'!$D$18="Land Registry Data",'House Prices (SE Wales)'!D40,'House Prices (SE Wales)'!V40)</f>
        <v>149118.8098674987</v>
      </c>
      <c r="AD40" s="4">
        <f>IF('Tenure Split (WALES)'!$D$18="Land Registry Data",'House Prices (SE Wales)'!E40,'House Prices (SE Wales)'!W40)</f>
        <v>149450.83106074875</v>
      </c>
      <c r="AE40" s="4">
        <f>IF('Tenure Split (WALES)'!$D$18="Land Registry Data",'House Prices (SE Wales)'!F40,'House Prices (SE Wales)'!X40)</f>
        <v>152667.66754407069</v>
      </c>
      <c r="AF40" s="4">
        <f>IF('Tenure Split (WALES)'!$D$18="Land Registry Data",'House Prices (SE Wales)'!G40,'House Prices (SE Wales)'!Y40)</f>
        <v>158621.57963833946</v>
      </c>
      <c r="AG40" s="4">
        <f>IF('Tenure Split (WALES)'!$D$18="Land Registry Data",'House Prices (SE Wales)'!H40,'House Prices (SE Wales)'!Z40)</f>
        <v>165201.19069101414</v>
      </c>
    </row>
    <row r="41" spans="2:33" x14ac:dyDescent="0.25">
      <c r="B41" s="20">
        <v>47</v>
      </c>
      <c r="C41" s="58">
        <v>148000</v>
      </c>
      <c r="D41" s="59">
        <f>C41*(1+'Tenure Split (SE Wales)'!C$118)</f>
        <v>152204.02662337798</v>
      </c>
      <c r="E41" s="59">
        <f>D41*(1+'Tenure Split (SE Wales)'!D$118)</f>
        <v>152542.91722062632</v>
      </c>
      <c r="F41" s="59">
        <f>E41*(1+'Tenure Split (SE Wales)'!E$118)</f>
        <v>155826.30894153423</v>
      </c>
      <c r="G41" s="59">
        <f>F41*(1+'Tenure Split (SE Wales)'!F$118)</f>
        <v>161903.4054239603</v>
      </c>
      <c r="H41" s="60">
        <f>G41*(1+'Tenure Split (SE Wales)'!G$118)</f>
        <v>168619.14636048343</v>
      </c>
      <c r="L41" s="64" t="str">
        <f t="shared" si="0"/>
        <v/>
      </c>
      <c r="M41" s="264"/>
      <c r="N41" s="14">
        <f t="shared" si="3"/>
        <v>1</v>
      </c>
      <c r="T41" s="1">
        <f t="shared" si="1"/>
        <v>47</v>
      </c>
      <c r="U41" s="4" t="str">
        <f t="shared" si="2"/>
        <v/>
      </c>
      <c r="V41" s="4" t="e">
        <f>IF($V$3=$M$3,M41,U41*(1+'Tenure Split (WALES)'!C$118))</f>
        <v>#VALUE!</v>
      </c>
      <c r="W41" s="4" t="e">
        <f>V41*(1+'Tenure Split (WALES)'!D$118)</f>
        <v>#VALUE!</v>
      </c>
      <c r="X41" s="4" t="e">
        <f>W41*(1+'Tenure Split (WALES)'!E$118)</f>
        <v>#VALUE!</v>
      </c>
      <c r="Y41" s="4" t="e">
        <f>X41*(1+'Tenure Split (WALES)'!F$118)</f>
        <v>#VALUE!</v>
      </c>
      <c r="Z41" s="4" t="e">
        <f>Y41*(1+'Tenure Split (WALES)'!G$118)</f>
        <v>#VALUE!</v>
      </c>
      <c r="AB41" s="1">
        <v>47</v>
      </c>
      <c r="AC41" s="4">
        <f>IF('Tenure Split (WALES)'!$D$18="Land Registry Data",'House Prices (SE Wales)'!D41,'House Prices (SE Wales)'!V41)</f>
        <v>152204.02662337798</v>
      </c>
      <c r="AD41" s="4">
        <f>IF('Tenure Split (WALES)'!$D$18="Land Registry Data",'House Prices (SE Wales)'!E41,'House Prices (SE Wales)'!W41)</f>
        <v>152542.91722062632</v>
      </c>
      <c r="AE41" s="4">
        <f>IF('Tenure Split (WALES)'!$D$18="Land Registry Data",'House Prices (SE Wales)'!F41,'House Prices (SE Wales)'!X41)</f>
        <v>155826.30894153423</v>
      </c>
      <c r="AF41" s="4">
        <f>IF('Tenure Split (WALES)'!$D$18="Land Registry Data",'House Prices (SE Wales)'!G41,'House Prices (SE Wales)'!Y41)</f>
        <v>161903.4054239603</v>
      </c>
      <c r="AG41" s="4">
        <f>IF('Tenure Split (WALES)'!$D$18="Land Registry Data",'House Prices (SE Wales)'!H41,'House Prices (SE Wales)'!Z41)</f>
        <v>168619.14636048343</v>
      </c>
    </row>
    <row r="42" spans="2:33" x14ac:dyDescent="0.25">
      <c r="B42" s="20">
        <v>48</v>
      </c>
      <c r="C42" s="58">
        <v>150000</v>
      </c>
      <c r="D42" s="59">
        <f>C42*(1+'Tenure Split (SE Wales)'!C$118)</f>
        <v>154260.83779396417</v>
      </c>
      <c r="E42" s="59">
        <f>D42*(1+'Tenure Split (SE Wales)'!D$118)</f>
        <v>154604.307993878</v>
      </c>
      <c r="F42" s="59">
        <f>E42*(1+'Tenure Split (SE Wales)'!E$118)</f>
        <v>157932.06987317657</v>
      </c>
      <c r="G42" s="59">
        <f>F42*(1+'Tenure Split (SE Wales)'!F$118)</f>
        <v>164091.28928104084</v>
      </c>
      <c r="H42" s="60">
        <f>G42*(1+'Tenure Split (SE Wales)'!G$118)</f>
        <v>170897.78347346291</v>
      </c>
      <c r="L42" s="64" t="str">
        <f t="shared" si="0"/>
        <v/>
      </c>
      <c r="M42" s="264"/>
      <c r="N42" s="14">
        <f t="shared" si="3"/>
        <v>1</v>
      </c>
      <c r="T42" s="1">
        <f t="shared" si="1"/>
        <v>48</v>
      </c>
      <c r="U42" s="4" t="str">
        <f t="shared" si="2"/>
        <v/>
      </c>
      <c r="V42" s="4" t="e">
        <f>IF($V$3=$M$3,M42,U42*(1+'Tenure Split (WALES)'!C$118))</f>
        <v>#VALUE!</v>
      </c>
      <c r="W42" s="4" t="e">
        <f>V42*(1+'Tenure Split (WALES)'!D$118)</f>
        <v>#VALUE!</v>
      </c>
      <c r="X42" s="4" t="e">
        <f>W42*(1+'Tenure Split (WALES)'!E$118)</f>
        <v>#VALUE!</v>
      </c>
      <c r="Y42" s="4" t="e">
        <f>X42*(1+'Tenure Split (WALES)'!F$118)</f>
        <v>#VALUE!</v>
      </c>
      <c r="Z42" s="4" t="e">
        <f>Y42*(1+'Tenure Split (WALES)'!G$118)</f>
        <v>#VALUE!</v>
      </c>
      <c r="AB42" s="1">
        <v>48</v>
      </c>
      <c r="AC42" s="4">
        <f>IF('Tenure Split (WALES)'!$D$18="Land Registry Data",'House Prices (SE Wales)'!D42,'House Prices (SE Wales)'!V42)</f>
        <v>154260.83779396417</v>
      </c>
      <c r="AD42" s="4">
        <f>IF('Tenure Split (WALES)'!$D$18="Land Registry Data",'House Prices (SE Wales)'!E42,'House Prices (SE Wales)'!W42)</f>
        <v>154604.307993878</v>
      </c>
      <c r="AE42" s="4">
        <f>IF('Tenure Split (WALES)'!$D$18="Land Registry Data",'House Prices (SE Wales)'!F42,'House Prices (SE Wales)'!X42)</f>
        <v>157932.06987317657</v>
      </c>
      <c r="AF42" s="4">
        <f>IF('Tenure Split (WALES)'!$D$18="Land Registry Data",'House Prices (SE Wales)'!G42,'House Prices (SE Wales)'!Y42)</f>
        <v>164091.28928104084</v>
      </c>
      <c r="AG42" s="4">
        <f>IF('Tenure Split (WALES)'!$D$18="Land Registry Data",'House Prices (SE Wales)'!H42,'House Prices (SE Wales)'!Z42)</f>
        <v>170897.78347346291</v>
      </c>
    </row>
    <row r="43" spans="2:33" x14ac:dyDescent="0.25">
      <c r="B43" s="20">
        <v>49</v>
      </c>
      <c r="C43" s="58">
        <v>152054.00000000009</v>
      </c>
      <c r="D43" s="59">
        <f>C43*(1+'Tenure Split (SE Wales)'!C$118)</f>
        <v>156373.18286615628</v>
      </c>
      <c r="E43" s="59">
        <f>D43*(1+'Tenure Split (SE Wales)'!D$118)</f>
        <v>156721.3563180076</v>
      </c>
      <c r="F43" s="59">
        <f>E43*(1+'Tenure Split (SE Wales)'!E$118)</f>
        <v>160094.68634997337</v>
      </c>
      <c r="G43" s="59">
        <f>F43*(1+'Tenure Split (SE Wales)'!F$118)</f>
        <v>166338.24600226266</v>
      </c>
      <c r="H43" s="60">
        <f>G43*(1+'Tenure Split (SE Wales)'!G$118)</f>
        <v>173237.94378849299</v>
      </c>
      <c r="L43" s="64" t="str">
        <f t="shared" si="0"/>
        <v/>
      </c>
      <c r="M43" s="264"/>
      <c r="N43" s="14">
        <f t="shared" si="3"/>
        <v>1</v>
      </c>
      <c r="T43" s="1">
        <f t="shared" si="1"/>
        <v>49</v>
      </c>
      <c r="U43" s="4" t="str">
        <f t="shared" si="2"/>
        <v/>
      </c>
      <c r="V43" s="4" t="e">
        <f>IF($V$3=$M$3,M43,U43*(1+'Tenure Split (WALES)'!C$118))</f>
        <v>#VALUE!</v>
      </c>
      <c r="W43" s="4" t="e">
        <f>V43*(1+'Tenure Split (WALES)'!D$118)</f>
        <v>#VALUE!</v>
      </c>
      <c r="X43" s="4" t="e">
        <f>W43*(1+'Tenure Split (WALES)'!E$118)</f>
        <v>#VALUE!</v>
      </c>
      <c r="Y43" s="4" t="e">
        <f>X43*(1+'Tenure Split (WALES)'!F$118)</f>
        <v>#VALUE!</v>
      </c>
      <c r="Z43" s="4" t="e">
        <f>Y43*(1+'Tenure Split (WALES)'!G$118)</f>
        <v>#VALUE!</v>
      </c>
      <c r="AB43" s="1">
        <v>49</v>
      </c>
      <c r="AC43" s="4">
        <f>IF('Tenure Split (WALES)'!$D$18="Land Registry Data",'House Prices (SE Wales)'!D43,'House Prices (SE Wales)'!V43)</f>
        <v>156373.18286615628</v>
      </c>
      <c r="AD43" s="4">
        <f>IF('Tenure Split (WALES)'!$D$18="Land Registry Data",'House Prices (SE Wales)'!E43,'House Prices (SE Wales)'!W43)</f>
        <v>156721.3563180076</v>
      </c>
      <c r="AE43" s="4">
        <f>IF('Tenure Split (WALES)'!$D$18="Land Registry Data",'House Prices (SE Wales)'!F43,'House Prices (SE Wales)'!X43)</f>
        <v>160094.68634997337</v>
      </c>
      <c r="AF43" s="4">
        <f>IF('Tenure Split (WALES)'!$D$18="Land Registry Data",'House Prices (SE Wales)'!G43,'House Prices (SE Wales)'!Y43)</f>
        <v>166338.24600226266</v>
      </c>
      <c r="AG43" s="4">
        <f>IF('Tenure Split (WALES)'!$D$18="Land Registry Data",'House Prices (SE Wales)'!H43,'House Prices (SE Wales)'!Z43)</f>
        <v>173237.94378849299</v>
      </c>
    </row>
    <row r="44" spans="2:33" x14ac:dyDescent="0.25">
      <c r="B44" s="20">
        <v>50</v>
      </c>
      <c r="C44" s="58">
        <v>155000</v>
      </c>
      <c r="D44" s="59">
        <f>C44*(1+'Tenure Split (SE Wales)'!C$118)</f>
        <v>159402.86572042963</v>
      </c>
      <c r="E44" s="59">
        <f>D44*(1+'Tenure Split (SE Wales)'!D$118)</f>
        <v>159757.78492700728</v>
      </c>
      <c r="F44" s="59">
        <f>E44*(1+'Tenure Split (SE Wales)'!E$118)</f>
        <v>163196.47220228246</v>
      </c>
      <c r="G44" s="59">
        <f>F44*(1+'Tenure Split (SE Wales)'!F$118)</f>
        <v>169560.99892374218</v>
      </c>
      <c r="H44" s="60">
        <f>G44*(1+'Tenure Split (SE Wales)'!G$118)</f>
        <v>176594.37625591166</v>
      </c>
      <c r="L44" s="64" t="str">
        <f t="shared" si="0"/>
        <v/>
      </c>
      <c r="M44" s="264"/>
      <c r="N44" s="14">
        <f t="shared" si="3"/>
        <v>1</v>
      </c>
      <c r="T44" s="1">
        <f t="shared" si="1"/>
        <v>50</v>
      </c>
      <c r="U44" s="4" t="str">
        <f t="shared" si="2"/>
        <v/>
      </c>
      <c r="V44" s="4" t="e">
        <f>IF($V$3=$M$3,M44,U44*(1+'Tenure Split (WALES)'!C$118))</f>
        <v>#VALUE!</v>
      </c>
      <c r="W44" s="4" t="e">
        <f>V44*(1+'Tenure Split (WALES)'!D$118)</f>
        <v>#VALUE!</v>
      </c>
      <c r="X44" s="4" t="e">
        <f>W44*(1+'Tenure Split (WALES)'!E$118)</f>
        <v>#VALUE!</v>
      </c>
      <c r="Y44" s="4" t="e">
        <f>X44*(1+'Tenure Split (WALES)'!F$118)</f>
        <v>#VALUE!</v>
      </c>
      <c r="Z44" s="4" t="e">
        <f>Y44*(1+'Tenure Split (WALES)'!G$118)</f>
        <v>#VALUE!</v>
      </c>
      <c r="AB44" s="1">
        <v>50</v>
      </c>
      <c r="AC44" s="4">
        <f>IF('Tenure Split (WALES)'!$D$18="Land Registry Data",'House Prices (SE Wales)'!D44,'House Prices (SE Wales)'!V44)</f>
        <v>159402.86572042963</v>
      </c>
      <c r="AD44" s="4">
        <f>IF('Tenure Split (WALES)'!$D$18="Land Registry Data",'House Prices (SE Wales)'!E44,'House Prices (SE Wales)'!W44)</f>
        <v>159757.78492700728</v>
      </c>
      <c r="AE44" s="4">
        <f>IF('Tenure Split (WALES)'!$D$18="Land Registry Data",'House Prices (SE Wales)'!F44,'House Prices (SE Wales)'!X44)</f>
        <v>163196.47220228246</v>
      </c>
      <c r="AF44" s="4">
        <f>IF('Tenure Split (WALES)'!$D$18="Land Registry Data",'House Prices (SE Wales)'!G44,'House Prices (SE Wales)'!Y44)</f>
        <v>169560.99892374218</v>
      </c>
      <c r="AG44" s="4">
        <f>IF('Tenure Split (WALES)'!$D$18="Land Registry Data",'House Prices (SE Wales)'!H44,'House Prices (SE Wales)'!Z44)</f>
        <v>176594.37625591166</v>
      </c>
    </row>
    <row r="45" spans="2:33" x14ac:dyDescent="0.25">
      <c r="B45" s="20">
        <v>51</v>
      </c>
      <c r="C45" s="58">
        <v>158000</v>
      </c>
      <c r="D45" s="59">
        <f>C45*(1+'Tenure Split (SE Wales)'!C$118)</f>
        <v>162488.08247630892</v>
      </c>
      <c r="E45" s="59">
        <f>D45*(1+'Tenure Split (SE Wales)'!D$118)</f>
        <v>162849.87108688484</v>
      </c>
      <c r="F45" s="59">
        <f>E45*(1+'Tenure Split (SE Wales)'!E$118)</f>
        <v>166355.11359974599</v>
      </c>
      <c r="G45" s="59">
        <f>F45*(1+'Tenure Split (SE Wales)'!F$118)</f>
        <v>172842.82470936302</v>
      </c>
      <c r="H45" s="60">
        <f>G45*(1+'Tenure Split (SE Wales)'!G$118)</f>
        <v>180012.33192538095</v>
      </c>
      <c r="L45" s="64" t="str">
        <f t="shared" si="0"/>
        <v/>
      </c>
      <c r="M45" s="264"/>
      <c r="N45" s="14">
        <f t="shared" si="3"/>
        <v>1</v>
      </c>
      <c r="T45" s="1">
        <f t="shared" si="1"/>
        <v>51</v>
      </c>
      <c r="U45" s="4" t="str">
        <f t="shared" si="2"/>
        <v/>
      </c>
      <c r="V45" s="4" t="e">
        <f>IF($V$3=$M$3,M45,U45*(1+'Tenure Split (WALES)'!C$118))</f>
        <v>#VALUE!</v>
      </c>
      <c r="W45" s="4" t="e">
        <f>V45*(1+'Tenure Split (WALES)'!D$118)</f>
        <v>#VALUE!</v>
      </c>
      <c r="X45" s="4" t="e">
        <f>W45*(1+'Tenure Split (WALES)'!E$118)</f>
        <v>#VALUE!</v>
      </c>
      <c r="Y45" s="4" t="e">
        <f>X45*(1+'Tenure Split (WALES)'!F$118)</f>
        <v>#VALUE!</v>
      </c>
      <c r="Z45" s="4" t="e">
        <f>Y45*(1+'Tenure Split (WALES)'!G$118)</f>
        <v>#VALUE!</v>
      </c>
      <c r="AB45" s="1">
        <v>51</v>
      </c>
      <c r="AC45" s="4">
        <f>IF('Tenure Split (WALES)'!$D$18="Land Registry Data",'House Prices (SE Wales)'!D45,'House Prices (SE Wales)'!V45)</f>
        <v>162488.08247630892</v>
      </c>
      <c r="AD45" s="4">
        <f>IF('Tenure Split (WALES)'!$D$18="Land Registry Data",'House Prices (SE Wales)'!E45,'House Prices (SE Wales)'!W45)</f>
        <v>162849.87108688484</v>
      </c>
      <c r="AE45" s="4">
        <f>IF('Tenure Split (WALES)'!$D$18="Land Registry Data",'House Prices (SE Wales)'!F45,'House Prices (SE Wales)'!X45)</f>
        <v>166355.11359974599</v>
      </c>
      <c r="AF45" s="4">
        <f>IF('Tenure Split (WALES)'!$D$18="Land Registry Data",'House Prices (SE Wales)'!G45,'House Prices (SE Wales)'!Y45)</f>
        <v>172842.82470936302</v>
      </c>
      <c r="AG45" s="4">
        <f>IF('Tenure Split (WALES)'!$D$18="Land Registry Data",'House Prices (SE Wales)'!H45,'House Prices (SE Wales)'!Z45)</f>
        <v>180012.33192538095</v>
      </c>
    </row>
    <row r="46" spans="2:33" x14ac:dyDescent="0.25">
      <c r="B46" s="20">
        <v>52</v>
      </c>
      <c r="C46" s="58">
        <v>160000</v>
      </c>
      <c r="D46" s="59">
        <f>C46*(1+'Tenure Split (SE Wales)'!C$118)</f>
        <v>164544.8936468951</v>
      </c>
      <c r="E46" s="59">
        <f>D46*(1+'Tenure Split (SE Wales)'!D$118)</f>
        <v>164911.26186013652</v>
      </c>
      <c r="F46" s="59">
        <f>E46*(1+'Tenure Split (SE Wales)'!E$118)</f>
        <v>168460.87453138831</v>
      </c>
      <c r="G46" s="59">
        <f>F46*(1+'Tenure Split (SE Wales)'!F$118)</f>
        <v>175030.70856644353</v>
      </c>
      <c r="H46" s="60">
        <f>G46*(1+'Tenure Split (SE Wales)'!G$118)</f>
        <v>182290.96903836043</v>
      </c>
      <c r="L46" s="64" t="str">
        <f t="shared" si="0"/>
        <v/>
      </c>
      <c r="M46" s="264"/>
      <c r="N46" s="14">
        <f t="shared" si="3"/>
        <v>1</v>
      </c>
      <c r="T46" s="1">
        <f t="shared" si="1"/>
        <v>52</v>
      </c>
      <c r="U46" s="4" t="str">
        <f t="shared" si="2"/>
        <v/>
      </c>
      <c r="V46" s="4" t="e">
        <f>IF($V$3=$M$3,M46,U46*(1+'Tenure Split (WALES)'!C$118))</f>
        <v>#VALUE!</v>
      </c>
      <c r="W46" s="4" t="e">
        <f>V46*(1+'Tenure Split (WALES)'!D$118)</f>
        <v>#VALUE!</v>
      </c>
      <c r="X46" s="4" t="e">
        <f>W46*(1+'Tenure Split (WALES)'!E$118)</f>
        <v>#VALUE!</v>
      </c>
      <c r="Y46" s="4" t="e">
        <f>X46*(1+'Tenure Split (WALES)'!F$118)</f>
        <v>#VALUE!</v>
      </c>
      <c r="Z46" s="4" t="e">
        <f>Y46*(1+'Tenure Split (WALES)'!G$118)</f>
        <v>#VALUE!</v>
      </c>
      <c r="AB46" s="1">
        <v>52</v>
      </c>
      <c r="AC46" s="4">
        <f>IF('Tenure Split (WALES)'!$D$18="Land Registry Data",'House Prices (SE Wales)'!D46,'House Prices (SE Wales)'!V46)</f>
        <v>164544.8936468951</v>
      </c>
      <c r="AD46" s="4">
        <f>IF('Tenure Split (WALES)'!$D$18="Land Registry Data",'House Prices (SE Wales)'!E46,'House Prices (SE Wales)'!W46)</f>
        <v>164911.26186013652</v>
      </c>
      <c r="AE46" s="4">
        <f>IF('Tenure Split (WALES)'!$D$18="Land Registry Data",'House Prices (SE Wales)'!F46,'House Prices (SE Wales)'!X46)</f>
        <v>168460.87453138831</v>
      </c>
      <c r="AF46" s="4">
        <f>IF('Tenure Split (WALES)'!$D$18="Land Registry Data",'House Prices (SE Wales)'!G46,'House Prices (SE Wales)'!Y46)</f>
        <v>175030.70856644353</v>
      </c>
      <c r="AG46" s="4">
        <f>IF('Tenure Split (WALES)'!$D$18="Land Registry Data",'House Prices (SE Wales)'!H46,'House Prices (SE Wales)'!Z46)</f>
        <v>182290.96903836043</v>
      </c>
    </row>
    <row r="47" spans="2:33" x14ac:dyDescent="0.25">
      <c r="B47" s="20">
        <v>53</v>
      </c>
      <c r="C47" s="58">
        <v>161500</v>
      </c>
      <c r="D47" s="59">
        <f>C47*(1+'Tenure Split (SE Wales)'!C$118)</f>
        <v>166087.50202483474</v>
      </c>
      <c r="E47" s="59">
        <f>D47*(1+'Tenure Split (SE Wales)'!D$118)</f>
        <v>166457.30494007532</v>
      </c>
      <c r="F47" s="59">
        <f>E47*(1+'Tenure Split (SE Wales)'!E$118)</f>
        <v>170040.19523012009</v>
      </c>
      <c r="G47" s="59">
        <f>F47*(1+'Tenure Split (SE Wales)'!F$118)</f>
        <v>176671.62145925395</v>
      </c>
      <c r="H47" s="60">
        <f>G47*(1+'Tenure Split (SE Wales)'!G$118)</f>
        <v>183999.94687309506</v>
      </c>
      <c r="L47" s="64" t="str">
        <f t="shared" si="0"/>
        <v/>
      </c>
      <c r="M47" s="264"/>
      <c r="N47" s="14">
        <f t="shared" si="3"/>
        <v>1</v>
      </c>
      <c r="T47" s="1">
        <f t="shared" si="1"/>
        <v>53</v>
      </c>
      <c r="U47" s="4" t="str">
        <f t="shared" si="2"/>
        <v/>
      </c>
      <c r="V47" s="4" t="e">
        <f>IF($V$3=$M$3,M47,U47*(1+'Tenure Split (WALES)'!C$118))</f>
        <v>#VALUE!</v>
      </c>
      <c r="W47" s="4" t="e">
        <f>V47*(1+'Tenure Split (WALES)'!D$118)</f>
        <v>#VALUE!</v>
      </c>
      <c r="X47" s="4" t="e">
        <f>W47*(1+'Tenure Split (WALES)'!E$118)</f>
        <v>#VALUE!</v>
      </c>
      <c r="Y47" s="4" t="e">
        <f>X47*(1+'Tenure Split (WALES)'!F$118)</f>
        <v>#VALUE!</v>
      </c>
      <c r="Z47" s="4" t="e">
        <f>Y47*(1+'Tenure Split (WALES)'!G$118)</f>
        <v>#VALUE!</v>
      </c>
      <c r="AB47" s="1">
        <v>53</v>
      </c>
      <c r="AC47" s="4">
        <f>IF('Tenure Split (WALES)'!$D$18="Land Registry Data",'House Prices (SE Wales)'!D47,'House Prices (SE Wales)'!V47)</f>
        <v>166087.50202483474</v>
      </c>
      <c r="AD47" s="4">
        <f>IF('Tenure Split (WALES)'!$D$18="Land Registry Data",'House Prices (SE Wales)'!E47,'House Prices (SE Wales)'!W47)</f>
        <v>166457.30494007532</v>
      </c>
      <c r="AE47" s="4">
        <f>IF('Tenure Split (WALES)'!$D$18="Land Registry Data",'House Prices (SE Wales)'!F47,'House Prices (SE Wales)'!X47)</f>
        <v>170040.19523012009</v>
      </c>
      <c r="AF47" s="4">
        <f>IF('Tenure Split (WALES)'!$D$18="Land Registry Data",'House Prices (SE Wales)'!G47,'House Prices (SE Wales)'!Y47)</f>
        <v>176671.62145925395</v>
      </c>
      <c r="AG47" s="4">
        <f>IF('Tenure Split (WALES)'!$D$18="Land Registry Data",'House Prices (SE Wales)'!H47,'House Prices (SE Wales)'!Z47)</f>
        <v>183999.94687309506</v>
      </c>
    </row>
    <row r="48" spans="2:33" x14ac:dyDescent="0.25">
      <c r="B48" s="20">
        <v>54</v>
      </c>
      <c r="C48" s="58">
        <v>164950</v>
      </c>
      <c r="D48" s="59">
        <f>C48*(1+'Tenure Split (SE Wales)'!C$118)</f>
        <v>169635.50129409594</v>
      </c>
      <c r="E48" s="59">
        <f>D48*(1+'Tenure Split (SE Wales)'!D$118)</f>
        <v>170013.20402393452</v>
      </c>
      <c r="F48" s="59">
        <f>E48*(1+'Tenure Split (SE Wales)'!E$118)</f>
        <v>173672.63283720319</v>
      </c>
      <c r="G48" s="59">
        <f>F48*(1+'Tenure Split (SE Wales)'!F$118)</f>
        <v>180445.7211127179</v>
      </c>
      <c r="H48" s="60">
        <f>G48*(1+'Tenure Split (SE Wales)'!G$118)</f>
        <v>187930.59589298471</v>
      </c>
      <c r="L48" s="64" t="str">
        <f t="shared" si="0"/>
        <v/>
      </c>
      <c r="M48" s="264"/>
      <c r="N48" s="14">
        <f t="shared" si="3"/>
        <v>1</v>
      </c>
      <c r="T48" s="1">
        <f t="shared" si="1"/>
        <v>54</v>
      </c>
      <c r="U48" s="4" t="str">
        <f t="shared" si="2"/>
        <v/>
      </c>
      <c r="V48" s="4" t="e">
        <f>IF($V$3=$M$3,M48,U48*(1+'Tenure Split (WALES)'!C$118))</f>
        <v>#VALUE!</v>
      </c>
      <c r="W48" s="4" t="e">
        <f>V48*(1+'Tenure Split (WALES)'!D$118)</f>
        <v>#VALUE!</v>
      </c>
      <c r="X48" s="4" t="e">
        <f>W48*(1+'Tenure Split (WALES)'!E$118)</f>
        <v>#VALUE!</v>
      </c>
      <c r="Y48" s="4" t="e">
        <f>X48*(1+'Tenure Split (WALES)'!F$118)</f>
        <v>#VALUE!</v>
      </c>
      <c r="Z48" s="4" t="e">
        <f>Y48*(1+'Tenure Split (WALES)'!G$118)</f>
        <v>#VALUE!</v>
      </c>
      <c r="AB48" s="1">
        <v>54</v>
      </c>
      <c r="AC48" s="4">
        <f>IF('Tenure Split (WALES)'!$D$18="Land Registry Data",'House Prices (SE Wales)'!D48,'House Prices (SE Wales)'!V48)</f>
        <v>169635.50129409594</v>
      </c>
      <c r="AD48" s="4">
        <f>IF('Tenure Split (WALES)'!$D$18="Land Registry Data",'House Prices (SE Wales)'!E48,'House Prices (SE Wales)'!W48)</f>
        <v>170013.20402393452</v>
      </c>
      <c r="AE48" s="4">
        <f>IF('Tenure Split (WALES)'!$D$18="Land Registry Data",'House Prices (SE Wales)'!F48,'House Prices (SE Wales)'!X48)</f>
        <v>173672.63283720319</v>
      </c>
      <c r="AF48" s="4">
        <f>IF('Tenure Split (WALES)'!$D$18="Land Registry Data",'House Prices (SE Wales)'!G48,'House Prices (SE Wales)'!Y48)</f>
        <v>180445.7211127179</v>
      </c>
      <c r="AG48" s="4">
        <f>IF('Tenure Split (WALES)'!$D$18="Land Registry Data",'House Prices (SE Wales)'!H48,'House Prices (SE Wales)'!Z48)</f>
        <v>187930.59589298471</v>
      </c>
    </row>
    <row r="49" spans="2:33" x14ac:dyDescent="0.25">
      <c r="B49" s="20">
        <v>55</v>
      </c>
      <c r="C49" s="58">
        <v>165000</v>
      </c>
      <c r="D49" s="59">
        <f>C49*(1+'Tenure Split (SE Wales)'!C$118)</f>
        <v>169686.9215733606</v>
      </c>
      <c r="E49" s="59">
        <f>D49*(1+'Tenure Split (SE Wales)'!D$118)</f>
        <v>170064.73879326583</v>
      </c>
      <c r="F49" s="59">
        <f>E49*(1+'Tenure Split (SE Wales)'!E$118)</f>
        <v>173725.27686049425</v>
      </c>
      <c r="G49" s="59">
        <f>F49*(1+'Tenure Split (SE Wales)'!F$118)</f>
        <v>180500.41820914493</v>
      </c>
      <c r="H49" s="60">
        <f>G49*(1+'Tenure Split (SE Wales)'!G$118)</f>
        <v>187987.56182080923</v>
      </c>
      <c r="L49" s="64" t="str">
        <f t="shared" si="0"/>
        <v/>
      </c>
      <c r="M49" s="264"/>
      <c r="N49" s="14">
        <f t="shared" si="3"/>
        <v>1</v>
      </c>
      <c r="T49" s="1">
        <f t="shared" si="1"/>
        <v>55</v>
      </c>
      <c r="U49" s="4" t="str">
        <f t="shared" si="2"/>
        <v/>
      </c>
      <c r="V49" s="4" t="e">
        <f>IF($V$3=$M$3,M49,U49*(1+'Tenure Split (WALES)'!C$118))</f>
        <v>#VALUE!</v>
      </c>
      <c r="W49" s="4" t="e">
        <f>V49*(1+'Tenure Split (WALES)'!D$118)</f>
        <v>#VALUE!</v>
      </c>
      <c r="X49" s="4" t="e">
        <f>W49*(1+'Tenure Split (WALES)'!E$118)</f>
        <v>#VALUE!</v>
      </c>
      <c r="Y49" s="4" t="e">
        <f>X49*(1+'Tenure Split (WALES)'!F$118)</f>
        <v>#VALUE!</v>
      </c>
      <c r="Z49" s="4" t="e">
        <f>Y49*(1+'Tenure Split (WALES)'!G$118)</f>
        <v>#VALUE!</v>
      </c>
      <c r="AB49" s="1">
        <v>55</v>
      </c>
      <c r="AC49" s="4">
        <f>IF('Tenure Split (WALES)'!$D$18="Land Registry Data",'House Prices (SE Wales)'!D49,'House Prices (SE Wales)'!V49)</f>
        <v>169686.9215733606</v>
      </c>
      <c r="AD49" s="4">
        <f>IF('Tenure Split (WALES)'!$D$18="Land Registry Data",'House Prices (SE Wales)'!E49,'House Prices (SE Wales)'!W49)</f>
        <v>170064.73879326583</v>
      </c>
      <c r="AE49" s="4">
        <f>IF('Tenure Split (WALES)'!$D$18="Land Registry Data",'House Prices (SE Wales)'!F49,'House Prices (SE Wales)'!X49)</f>
        <v>173725.27686049425</v>
      </c>
      <c r="AF49" s="4">
        <f>IF('Tenure Split (WALES)'!$D$18="Land Registry Data",'House Prices (SE Wales)'!G49,'House Prices (SE Wales)'!Y49)</f>
        <v>180500.41820914493</v>
      </c>
      <c r="AG49" s="4">
        <f>IF('Tenure Split (WALES)'!$D$18="Land Registry Data",'House Prices (SE Wales)'!H49,'House Prices (SE Wales)'!Z49)</f>
        <v>187987.56182080923</v>
      </c>
    </row>
    <row r="50" spans="2:33" x14ac:dyDescent="0.25">
      <c r="B50" s="20">
        <v>56</v>
      </c>
      <c r="C50" s="58">
        <v>168949.2</v>
      </c>
      <c r="D50" s="59">
        <f>C50*(1+'Tenure Split (SE Wales)'!C$118)</f>
        <v>173748.30091080008</v>
      </c>
      <c r="E50" s="59">
        <f>D50*(1+'Tenure Split (SE Wales)'!D$118)</f>
        <v>174135.16101412865</v>
      </c>
      <c r="F50" s="59">
        <f>E50*(1+'Tenure Split (SE Wales)'!E$118)</f>
        <v>177883.31239611525</v>
      </c>
      <c r="G50" s="59">
        <f>F50*(1+'Tenure Split (SE Wales)'!F$118)</f>
        <v>184820.61367333619</v>
      </c>
      <c r="H50" s="60">
        <f>G50*(1+'Tenure Split (SE Wales)'!G$118)</f>
        <v>192486.95866409858</v>
      </c>
      <c r="L50" s="64" t="str">
        <f t="shared" si="0"/>
        <v/>
      </c>
      <c r="M50" s="264"/>
      <c r="N50" s="14">
        <f t="shared" si="3"/>
        <v>1</v>
      </c>
      <c r="T50" s="1">
        <f t="shared" si="1"/>
        <v>56</v>
      </c>
      <c r="U50" s="4" t="str">
        <f t="shared" si="2"/>
        <v/>
      </c>
      <c r="V50" s="4" t="e">
        <f>IF($V$3=$M$3,M50,U50*(1+'Tenure Split (WALES)'!C$118))</f>
        <v>#VALUE!</v>
      </c>
      <c r="W50" s="4" t="e">
        <f>V50*(1+'Tenure Split (WALES)'!D$118)</f>
        <v>#VALUE!</v>
      </c>
      <c r="X50" s="4" t="e">
        <f>W50*(1+'Tenure Split (WALES)'!E$118)</f>
        <v>#VALUE!</v>
      </c>
      <c r="Y50" s="4" t="e">
        <f>X50*(1+'Tenure Split (WALES)'!F$118)</f>
        <v>#VALUE!</v>
      </c>
      <c r="Z50" s="4" t="e">
        <f>Y50*(1+'Tenure Split (WALES)'!G$118)</f>
        <v>#VALUE!</v>
      </c>
      <c r="AB50" s="1">
        <v>56</v>
      </c>
      <c r="AC50" s="4">
        <f>IF('Tenure Split (WALES)'!$D$18="Land Registry Data",'House Prices (SE Wales)'!D50,'House Prices (SE Wales)'!V50)</f>
        <v>173748.30091080008</v>
      </c>
      <c r="AD50" s="4">
        <f>IF('Tenure Split (WALES)'!$D$18="Land Registry Data",'House Prices (SE Wales)'!E50,'House Prices (SE Wales)'!W50)</f>
        <v>174135.16101412865</v>
      </c>
      <c r="AE50" s="4">
        <f>IF('Tenure Split (WALES)'!$D$18="Land Registry Data",'House Prices (SE Wales)'!F50,'House Prices (SE Wales)'!X50)</f>
        <v>177883.31239611525</v>
      </c>
      <c r="AF50" s="4">
        <f>IF('Tenure Split (WALES)'!$D$18="Land Registry Data",'House Prices (SE Wales)'!G50,'House Prices (SE Wales)'!Y50)</f>
        <v>184820.61367333619</v>
      </c>
      <c r="AG50" s="4">
        <f>IF('Tenure Split (WALES)'!$D$18="Land Registry Data",'House Prices (SE Wales)'!H50,'House Prices (SE Wales)'!Z50)</f>
        <v>192486.95866409858</v>
      </c>
    </row>
    <row r="51" spans="2:33" x14ac:dyDescent="0.25">
      <c r="B51" s="20">
        <v>57</v>
      </c>
      <c r="C51" s="58">
        <v>170000</v>
      </c>
      <c r="D51" s="59">
        <f>C51*(1+'Tenure Split (SE Wales)'!C$118)</f>
        <v>174828.94949982606</v>
      </c>
      <c r="E51" s="59">
        <f>D51*(1+'Tenure Split (SE Wales)'!D$118)</f>
        <v>175218.21572639508</v>
      </c>
      <c r="F51" s="59">
        <f>E51*(1+'Tenure Split (SE Wales)'!E$118)</f>
        <v>178989.67918960011</v>
      </c>
      <c r="G51" s="59">
        <f>F51*(1+'Tenure Split (SE Wales)'!F$118)</f>
        <v>185970.12785184628</v>
      </c>
      <c r="H51" s="60">
        <f>G51*(1+'Tenure Split (SE Wales)'!G$118)</f>
        <v>193684.15460325798</v>
      </c>
      <c r="L51" s="64" t="str">
        <f t="shared" si="0"/>
        <v/>
      </c>
      <c r="M51" s="264"/>
      <c r="N51" s="14">
        <f t="shared" si="3"/>
        <v>1</v>
      </c>
      <c r="T51" s="1">
        <f t="shared" si="1"/>
        <v>57</v>
      </c>
      <c r="U51" s="4" t="str">
        <f t="shared" si="2"/>
        <v/>
      </c>
      <c r="V51" s="4" t="e">
        <f>IF($V$3=$M$3,M51,U51*(1+'Tenure Split (WALES)'!C$118))</f>
        <v>#VALUE!</v>
      </c>
      <c r="W51" s="4" t="e">
        <f>V51*(1+'Tenure Split (WALES)'!D$118)</f>
        <v>#VALUE!</v>
      </c>
      <c r="X51" s="4" t="e">
        <f>W51*(1+'Tenure Split (WALES)'!E$118)</f>
        <v>#VALUE!</v>
      </c>
      <c r="Y51" s="4" t="e">
        <f>X51*(1+'Tenure Split (WALES)'!F$118)</f>
        <v>#VALUE!</v>
      </c>
      <c r="Z51" s="4" t="e">
        <f>Y51*(1+'Tenure Split (WALES)'!G$118)</f>
        <v>#VALUE!</v>
      </c>
      <c r="AB51" s="1">
        <v>57</v>
      </c>
      <c r="AC51" s="4">
        <f>IF('Tenure Split (WALES)'!$D$18="Land Registry Data",'House Prices (SE Wales)'!D51,'House Prices (SE Wales)'!V51)</f>
        <v>174828.94949982606</v>
      </c>
      <c r="AD51" s="4">
        <f>IF('Tenure Split (WALES)'!$D$18="Land Registry Data",'House Prices (SE Wales)'!E51,'House Prices (SE Wales)'!W51)</f>
        <v>175218.21572639508</v>
      </c>
      <c r="AE51" s="4">
        <f>IF('Tenure Split (WALES)'!$D$18="Land Registry Data",'House Prices (SE Wales)'!F51,'House Prices (SE Wales)'!X51)</f>
        <v>178989.67918960011</v>
      </c>
      <c r="AF51" s="4">
        <f>IF('Tenure Split (WALES)'!$D$18="Land Registry Data",'House Prices (SE Wales)'!G51,'House Prices (SE Wales)'!Y51)</f>
        <v>185970.12785184628</v>
      </c>
      <c r="AG51" s="4">
        <f>IF('Tenure Split (WALES)'!$D$18="Land Registry Data",'House Prices (SE Wales)'!H51,'House Prices (SE Wales)'!Z51)</f>
        <v>193684.15460325798</v>
      </c>
    </row>
    <row r="52" spans="2:33" x14ac:dyDescent="0.25">
      <c r="B52" s="20">
        <v>58</v>
      </c>
      <c r="C52" s="58">
        <v>173000</v>
      </c>
      <c r="D52" s="59">
        <f>C52*(1+'Tenure Split (SE Wales)'!C$118)</f>
        <v>177914.16625570535</v>
      </c>
      <c r="E52" s="59">
        <f>D52*(1+'Tenure Split (SE Wales)'!D$118)</f>
        <v>178310.30188627265</v>
      </c>
      <c r="F52" s="59">
        <f>E52*(1+'Tenure Split (SE Wales)'!E$118)</f>
        <v>182148.32058706364</v>
      </c>
      <c r="G52" s="59">
        <f>F52*(1+'Tenure Split (SE Wales)'!F$118)</f>
        <v>189251.95363746709</v>
      </c>
      <c r="H52" s="60">
        <f>G52*(1+'Tenure Split (SE Wales)'!G$118)</f>
        <v>197102.11027272724</v>
      </c>
      <c r="L52" s="64" t="str">
        <f t="shared" si="0"/>
        <v/>
      </c>
      <c r="M52" s="264"/>
      <c r="N52" s="14">
        <f t="shared" si="3"/>
        <v>1</v>
      </c>
      <c r="T52" s="1">
        <f t="shared" si="1"/>
        <v>58</v>
      </c>
      <c r="U52" s="4" t="str">
        <f t="shared" si="2"/>
        <v/>
      </c>
      <c r="V52" s="4" t="e">
        <f>IF($V$3=$M$3,M52,U52*(1+'Tenure Split (WALES)'!C$118))</f>
        <v>#VALUE!</v>
      </c>
      <c r="W52" s="4" t="e">
        <f>V52*(1+'Tenure Split (WALES)'!D$118)</f>
        <v>#VALUE!</v>
      </c>
      <c r="X52" s="4" t="e">
        <f>W52*(1+'Tenure Split (WALES)'!E$118)</f>
        <v>#VALUE!</v>
      </c>
      <c r="Y52" s="4" t="e">
        <f>X52*(1+'Tenure Split (WALES)'!F$118)</f>
        <v>#VALUE!</v>
      </c>
      <c r="Z52" s="4" t="e">
        <f>Y52*(1+'Tenure Split (WALES)'!G$118)</f>
        <v>#VALUE!</v>
      </c>
      <c r="AB52" s="1">
        <v>58</v>
      </c>
      <c r="AC52" s="4">
        <f>IF('Tenure Split (WALES)'!$D$18="Land Registry Data",'House Prices (SE Wales)'!D52,'House Prices (SE Wales)'!V52)</f>
        <v>177914.16625570535</v>
      </c>
      <c r="AD52" s="4">
        <f>IF('Tenure Split (WALES)'!$D$18="Land Registry Data",'House Prices (SE Wales)'!E52,'House Prices (SE Wales)'!W52)</f>
        <v>178310.30188627265</v>
      </c>
      <c r="AE52" s="4">
        <f>IF('Tenure Split (WALES)'!$D$18="Land Registry Data",'House Prices (SE Wales)'!F52,'House Prices (SE Wales)'!X52)</f>
        <v>182148.32058706364</v>
      </c>
      <c r="AF52" s="4">
        <f>IF('Tenure Split (WALES)'!$D$18="Land Registry Data",'House Prices (SE Wales)'!G52,'House Prices (SE Wales)'!Y52)</f>
        <v>189251.95363746709</v>
      </c>
      <c r="AG52" s="4">
        <f>IF('Tenure Split (WALES)'!$D$18="Land Registry Data",'House Prices (SE Wales)'!H52,'House Prices (SE Wales)'!Z52)</f>
        <v>197102.11027272724</v>
      </c>
    </row>
    <row r="53" spans="2:33" x14ac:dyDescent="0.25">
      <c r="B53" s="20">
        <v>59</v>
      </c>
      <c r="C53" s="58">
        <v>175000</v>
      </c>
      <c r="D53" s="59">
        <f>C53*(1+'Tenure Split (SE Wales)'!C$118)</f>
        <v>179970.97742629153</v>
      </c>
      <c r="E53" s="59">
        <f>D53*(1+'Tenure Split (SE Wales)'!D$118)</f>
        <v>180371.69265952436</v>
      </c>
      <c r="F53" s="59">
        <f>E53*(1+'Tenure Split (SE Wales)'!E$118)</f>
        <v>184254.08151870602</v>
      </c>
      <c r="G53" s="59">
        <f>F53*(1+'Tenure Split (SE Wales)'!F$118)</f>
        <v>191439.83749454765</v>
      </c>
      <c r="H53" s="60">
        <f>G53*(1+'Tenure Split (SE Wales)'!G$118)</f>
        <v>199380.74738570675</v>
      </c>
      <c r="L53" s="64" t="str">
        <f t="shared" si="0"/>
        <v/>
      </c>
      <c r="M53" s="264"/>
      <c r="N53" s="14">
        <f t="shared" si="3"/>
        <v>1</v>
      </c>
      <c r="T53" s="1">
        <f t="shared" si="1"/>
        <v>59</v>
      </c>
      <c r="U53" s="4" t="str">
        <f t="shared" si="2"/>
        <v/>
      </c>
      <c r="V53" s="4" t="e">
        <f>IF($V$3=$M$3,M53,U53*(1+'Tenure Split (WALES)'!C$118))</f>
        <v>#VALUE!</v>
      </c>
      <c r="W53" s="4" t="e">
        <f>V53*(1+'Tenure Split (WALES)'!D$118)</f>
        <v>#VALUE!</v>
      </c>
      <c r="X53" s="4" t="e">
        <f>W53*(1+'Tenure Split (WALES)'!E$118)</f>
        <v>#VALUE!</v>
      </c>
      <c r="Y53" s="4" t="e">
        <f>X53*(1+'Tenure Split (WALES)'!F$118)</f>
        <v>#VALUE!</v>
      </c>
      <c r="Z53" s="4" t="e">
        <f>Y53*(1+'Tenure Split (WALES)'!G$118)</f>
        <v>#VALUE!</v>
      </c>
      <c r="AB53" s="1">
        <v>59</v>
      </c>
      <c r="AC53" s="4">
        <f>IF('Tenure Split (WALES)'!$D$18="Land Registry Data",'House Prices (SE Wales)'!D53,'House Prices (SE Wales)'!V53)</f>
        <v>179970.97742629153</v>
      </c>
      <c r="AD53" s="4">
        <f>IF('Tenure Split (WALES)'!$D$18="Land Registry Data",'House Prices (SE Wales)'!E53,'House Prices (SE Wales)'!W53)</f>
        <v>180371.69265952436</v>
      </c>
      <c r="AE53" s="4">
        <f>IF('Tenure Split (WALES)'!$D$18="Land Registry Data",'House Prices (SE Wales)'!F53,'House Prices (SE Wales)'!X53)</f>
        <v>184254.08151870602</v>
      </c>
      <c r="AF53" s="4">
        <f>IF('Tenure Split (WALES)'!$D$18="Land Registry Data",'House Prices (SE Wales)'!G53,'House Prices (SE Wales)'!Y53)</f>
        <v>191439.83749454765</v>
      </c>
      <c r="AG53" s="4">
        <f>IF('Tenure Split (WALES)'!$D$18="Land Registry Data",'House Prices (SE Wales)'!H53,'House Prices (SE Wales)'!Z53)</f>
        <v>199380.74738570675</v>
      </c>
    </row>
    <row r="54" spans="2:33" x14ac:dyDescent="0.25">
      <c r="B54" s="20">
        <v>60</v>
      </c>
      <c r="C54" s="58">
        <v>178000</v>
      </c>
      <c r="D54" s="59">
        <f>C54*(1+'Tenure Split (SE Wales)'!C$118)</f>
        <v>183056.19418217082</v>
      </c>
      <c r="E54" s="59">
        <f>D54*(1+'Tenure Split (SE Wales)'!D$118)</f>
        <v>183463.77881940192</v>
      </c>
      <c r="F54" s="59">
        <f>E54*(1+'Tenure Split (SE Wales)'!E$118)</f>
        <v>187412.72291616956</v>
      </c>
      <c r="G54" s="59">
        <f>F54*(1+'Tenure Split (SE Wales)'!F$118)</f>
        <v>194721.66328016849</v>
      </c>
      <c r="H54" s="60">
        <f>G54*(1+'Tenure Split (SE Wales)'!G$118)</f>
        <v>202798.70305517604</v>
      </c>
      <c r="L54" s="64" t="str">
        <f t="shared" si="0"/>
        <v/>
      </c>
      <c r="M54" s="264"/>
      <c r="N54" s="14">
        <f t="shared" si="3"/>
        <v>1</v>
      </c>
      <c r="T54" s="1">
        <f t="shared" si="1"/>
        <v>60</v>
      </c>
      <c r="U54" s="4" t="str">
        <f t="shared" si="2"/>
        <v/>
      </c>
      <c r="V54" s="4" t="e">
        <f>IF($V$3=$M$3,M54,U54*(1+'Tenure Split (WALES)'!C$118))</f>
        <v>#VALUE!</v>
      </c>
      <c r="W54" s="4" t="e">
        <f>V54*(1+'Tenure Split (WALES)'!D$118)</f>
        <v>#VALUE!</v>
      </c>
      <c r="X54" s="4" t="e">
        <f>W54*(1+'Tenure Split (WALES)'!E$118)</f>
        <v>#VALUE!</v>
      </c>
      <c r="Y54" s="4" t="e">
        <f>X54*(1+'Tenure Split (WALES)'!F$118)</f>
        <v>#VALUE!</v>
      </c>
      <c r="Z54" s="4" t="e">
        <f>Y54*(1+'Tenure Split (WALES)'!G$118)</f>
        <v>#VALUE!</v>
      </c>
      <c r="AB54" s="1">
        <v>60</v>
      </c>
      <c r="AC54" s="4">
        <f>IF('Tenure Split (WALES)'!$D$18="Land Registry Data",'House Prices (SE Wales)'!D54,'House Prices (SE Wales)'!V54)</f>
        <v>183056.19418217082</v>
      </c>
      <c r="AD54" s="4">
        <f>IF('Tenure Split (WALES)'!$D$18="Land Registry Data",'House Prices (SE Wales)'!E54,'House Prices (SE Wales)'!W54)</f>
        <v>183463.77881940192</v>
      </c>
      <c r="AE54" s="4">
        <f>IF('Tenure Split (WALES)'!$D$18="Land Registry Data",'House Prices (SE Wales)'!F54,'House Prices (SE Wales)'!X54)</f>
        <v>187412.72291616956</v>
      </c>
      <c r="AF54" s="4">
        <f>IF('Tenure Split (WALES)'!$D$18="Land Registry Data",'House Prices (SE Wales)'!G54,'House Prices (SE Wales)'!Y54)</f>
        <v>194721.66328016849</v>
      </c>
      <c r="AG54" s="4">
        <f>IF('Tenure Split (WALES)'!$D$18="Land Registry Data",'House Prices (SE Wales)'!H54,'House Prices (SE Wales)'!Z54)</f>
        <v>202798.70305517604</v>
      </c>
    </row>
    <row r="55" spans="2:33" x14ac:dyDescent="0.25">
      <c r="B55" s="20">
        <v>61</v>
      </c>
      <c r="C55" s="58">
        <v>180000</v>
      </c>
      <c r="D55" s="59">
        <f>C55*(1+'Tenure Split (SE Wales)'!C$118)</f>
        <v>185113.005352757</v>
      </c>
      <c r="E55" s="59">
        <f>D55*(1+'Tenure Split (SE Wales)'!D$118)</f>
        <v>185525.1695926536</v>
      </c>
      <c r="F55" s="59">
        <f>E55*(1+'Tenure Split (SE Wales)'!E$118)</f>
        <v>189518.48384781188</v>
      </c>
      <c r="G55" s="59">
        <f>F55*(1+'Tenure Split (SE Wales)'!F$118)</f>
        <v>196909.54713724897</v>
      </c>
      <c r="H55" s="60">
        <f>G55*(1+'Tenure Split (SE Wales)'!G$118)</f>
        <v>205077.34016815547</v>
      </c>
      <c r="L55" s="64" t="str">
        <f t="shared" si="0"/>
        <v/>
      </c>
      <c r="M55" s="264"/>
      <c r="N55" s="14">
        <f t="shared" si="3"/>
        <v>1</v>
      </c>
      <c r="T55" s="1">
        <f t="shared" si="1"/>
        <v>61</v>
      </c>
      <c r="U55" s="4" t="str">
        <f t="shared" si="2"/>
        <v/>
      </c>
      <c r="V55" s="4" t="e">
        <f>IF($V$3=$M$3,M55,U55*(1+'Tenure Split (WALES)'!C$118))</f>
        <v>#VALUE!</v>
      </c>
      <c r="W55" s="4" t="e">
        <f>V55*(1+'Tenure Split (WALES)'!D$118)</f>
        <v>#VALUE!</v>
      </c>
      <c r="X55" s="4" t="e">
        <f>W55*(1+'Tenure Split (WALES)'!E$118)</f>
        <v>#VALUE!</v>
      </c>
      <c r="Y55" s="4" t="e">
        <f>X55*(1+'Tenure Split (WALES)'!F$118)</f>
        <v>#VALUE!</v>
      </c>
      <c r="Z55" s="4" t="e">
        <f>Y55*(1+'Tenure Split (WALES)'!G$118)</f>
        <v>#VALUE!</v>
      </c>
      <c r="AB55" s="1">
        <v>61</v>
      </c>
      <c r="AC55" s="4">
        <f>IF('Tenure Split (WALES)'!$D$18="Land Registry Data",'House Prices (SE Wales)'!D55,'House Prices (SE Wales)'!V55)</f>
        <v>185113.005352757</v>
      </c>
      <c r="AD55" s="4">
        <f>IF('Tenure Split (WALES)'!$D$18="Land Registry Data",'House Prices (SE Wales)'!E55,'House Prices (SE Wales)'!W55)</f>
        <v>185525.1695926536</v>
      </c>
      <c r="AE55" s="4">
        <f>IF('Tenure Split (WALES)'!$D$18="Land Registry Data",'House Prices (SE Wales)'!F55,'House Prices (SE Wales)'!X55)</f>
        <v>189518.48384781188</v>
      </c>
      <c r="AF55" s="4">
        <f>IF('Tenure Split (WALES)'!$D$18="Land Registry Data",'House Prices (SE Wales)'!G55,'House Prices (SE Wales)'!Y55)</f>
        <v>196909.54713724897</v>
      </c>
      <c r="AG55" s="4">
        <f>IF('Tenure Split (WALES)'!$D$18="Land Registry Data",'House Prices (SE Wales)'!H55,'House Prices (SE Wales)'!Z55)</f>
        <v>205077.34016815547</v>
      </c>
    </row>
    <row r="56" spans="2:33" x14ac:dyDescent="0.25">
      <c r="B56" s="20">
        <v>62</v>
      </c>
      <c r="C56" s="58">
        <v>182500</v>
      </c>
      <c r="D56" s="59">
        <f>C56*(1+'Tenure Split (SE Wales)'!C$118)</f>
        <v>187684.01931598975</v>
      </c>
      <c r="E56" s="59">
        <f>D56*(1+'Tenure Split (SE Wales)'!D$118)</f>
        <v>188101.90805921826</v>
      </c>
      <c r="F56" s="59">
        <f>E56*(1+'Tenure Split (SE Wales)'!E$118)</f>
        <v>192150.68501236485</v>
      </c>
      <c r="G56" s="59">
        <f>F56*(1+'Tenure Split (SE Wales)'!F$118)</f>
        <v>199644.40195859969</v>
      </c>
      <c r="H56" s="60">
        <f>G56*(1+'Tenure Split (SE Wales)'!G$118)</f>
        <v>207925.6365593799</v>
      </c>
      <c r="L56" s="64" t="str">
        <f t="shared" si="0"/>
        <v/>
      </c>
      <c r="M56" s="264"/>
      <c r="N56" s="14">
        <f t="shared" si="3"/>
        <v>1</v>
      </c>
      <c r="T56" s="1">
        <f t="shared" si="1"/>
        <v>62</v>
      </c>
      <c r="U56" s="4" t="str">
        <f t="shared" si="2"/>
        <v/>
      </c>
      <c r="V56" s="4" t="e">
        <f>IF($V$3=$M$3,M56,U56*(1+'Tenure Split (WALES)'!C$118))</f>
        <v>#VALUE!</v>
      </c>
      <c r="W56" s="4" t="e">
        <f>V56*(1+'Tenure Split (WALES)'!D$118)</f>
        <v>#VALUE!</v>
      </c>
      <c r="X56" s="4" t="e">
        <f>W56*(1+'Tenure Split (WALES)'!E$118)</f>
        <v>#VALUE!</v>
      </c>
      <c r="Y56" s="4" t="e">
        <f>X56*(1+'Tenure Split (WALES)'!F$118)</f>
        <v>#VALUE!</v>
      </c>
      <c r="Z56" s="4" t="e">
        <f>Y56*(1+'Tenure Split (WALES)'!G$118)</f>
        <v>#VALUE!</v>
      </c>
      <c r="AB56" s="1">
        <v>62</v>
      </c>
      <c r="AC56" s="4">
        <f>IF('Tenure Split (WALES)'!$D$18="Land Registry Data",'House Prices (SE Wales)'!D56,'House Prices (SE Wales)'!V56)</f>
        <v>187684.01931598975</v>
      </c>
      <c r="AD56" s="4">
        <f>IF('Tenure Split (WALES)'!$D$18="Land Registry Data",'House Prices (SE Wales)'!E56,'House Prices (SE Wales)'!W56)</f>
        <v>188101.90805921826</v>
      </c>
      <c r="AE56" s="4">
        <f>IF('Tenure Split (WALES)'!$D$18="Land Registry Data",'House Prices (SE Wales)'!F56,'House Prices (SE Wales)'!X56)</f>
        <v>192150.68501236485</v>
      </c>
      <c r="AF56" s="4">
        <f>IF('Tenure Split (WALES)'!$D$18="Land Registry Data",'House Prices (SE Wales)'!G56,'House Prices (SE Wales)'!Y56)</f>
        <v>199644.40195859969</v>
      </c>
      <c r="AG56" s="4">
        <f>IF('Tenure Split (WALES)'!$D$18="Land Registry Data",'House Prices (SE Wales)'!H56,'House Prices (SE Wales)'!Z56)</f>
        <v>207925.6365593799</v>
      </c>
    </row>
    <row r="57" spans="2:33" x14ac:dyDescent="0.25">
      <c r="B57" s="20">
        <v>63</v>
      </c>
      <c r="C57" s="58">
        <v>185000</v>
      </c>
      <c r="D57" s="59">
        <f>C57*(1+'Tenure Split (SE Wales)'!C$118)</f>
        <v>190255.03327922247</v>
      </c>
      <c r="E57" s="59">
        <f>D57*(1+'Tenure Split (SE Wales)'!D$118)</f>
        <v>190678.64652578288</v>
      </c>
      <c r="F57" s="59">
        <f>E57*(1+'Tenure Split (SE Wales)'!E$118)</f>
        <v>194782.88617691779</v>
      </c>
      <c r="G57" s="59">
        <f>F57*(1+'Tenure Split (SE Wales)'!F$118)</f>
        <v>202379.25677995037</v>
      </c>
      <c r="H57" s="60">
        <f>G57*(1+'Tenure Split (SE Wales)'!G$118)</f>
        <v>210773.93295060427</v>
      </c>
      <c r="L57" s="64" t="str">
        <f t="shared" si="0"/>
        <v/>
      </c>
      <c r="M57" s="264"/>
      <c r="N57" s="14">
        <f t="shared" si="3"/>
        <v>1</v>
      </c>
      <c r="T57" s="1">
        <f t="shared" si="1"/>
        <v>63</v>
      </c>
      <c r="U57" s="4" t="str">
        <f t="shared" si="2"/>
        <v/>
      </c>
      <c r="V57" s="4" t="e">
        <f>IF($V$3=$M$3,M57,U57*(1+'Tenure Split (WALES)'!C$118))</f>
        <v>#VALUE!</v>
      </c>
      <c r="W57" s="4" t="e">
        <f>V57*(1+'Tenure Split (WALES)'!D$118)</f>
        <v>#VALUE!</v>
      </c>
      <c r="X57" s="4" t="e">
        <f>W57*(1+'Tenure Split (WALES)'!E$118)</f>
        <v>#VALUE!</v>
      </c>
      <c r="Y57" s="4" t="e">
        <f>X57*(1+'Tenure Split (WALES)'!F$118)</f>
        <v>#VALUE!</v>
      </c>
      <c r="Z57" s="4" t="e">
        <f>Y57*(1+'Tenure Split (WALES)'!G$118)</f>
        <v>#VALUE!</v>
      </c>
      <c r="AB57" s="1">
        <v>63</v>
      </c>
      <c r="AC57" s="4">
        <f>IF('Tenure Split (WALES)'!$D$18="Land Registry Data",'House Prices (SE Wales)'!D57,'House Prices (SE Wales)'!V57)</f>
        <v>190255.03327922247</v>
      </c>
      <c r="AD57" s="4">
        <f>IF('Tenure Split (WALES)'!$D$18="Land Registry Data",'House Prices (SE Wales)'!E57,'House Prices (SE Wales)'!W57)</f>
        <v>190678.64652578288</v>
      </c>
      <c r="AE57" s="4">
        <f>IF('Tenure Split (WALES)'!$D$18="Land Registry Data",'House Prices (SE Wales)'!F57,'House Prices (SE Wales)'!X57)</f>
        <v>194782.88617691779</v>
      </c>
      <c r="AF57" s="4">
        <f>IF('Tenure Split (WALES)'!$D$18="Land Registry Data",'House Prices (SE Wales)'!G57,'House Prices (SE Wales)'!Y57)</f>
        <v>202379.25677995037</v>
      </c>
      <c r="AG57" s="4">
        <f>IF('Tenure Split (WALES)'!$D$18="Land Registry Data",'House Prices (SE Wales)'!H57,'House Prices (SE Wales)'!Z57)</f>
        <v>210773.93295060427</v>
      </c>
    </row>
    <row r="58" spans="2:33" x14ac:dyDescent="0.25">
      <c r="B58" s="20">
        <v>64</v>
      </c>
      <c r="C58" s="58">
        <v>188000</v>
      </c>
      <c r="D58" s="59">
        <f>C58*(1+'Tenure Split (SE Wales)'!C$118)</f>
        <v>193340.25003510175</v>
      </c>
      <c r="E58" s="59">
        <f>D58*(1+'Tenure Split (SE Wales)'!D$118)</f>
        <v>193770.73268566042</v>
      </c>
      <c r="F58" s="59">
        <f>E58*(1+'Tenure Split (SE Wales)'!E$118)</f>
        <v>197941.5275743813</v>
      </c>
      <c r="G58" s="59">
        <f>F58*(1+'Tenure Split (SE Wales)'!F$118)</f>
        <v>205661.08256557115</v>
      </c>
      <c r="H58" s="60">
        <f>G58*(1+'Tenure Split (SE Wales)'!G$118)</f>
        <v>214191.8886200735</v>
      </c>
      <c r="L58" s="64" t="str">
        <f t="shared" si="0"/>
        <v/>
      </c>
      <c r="M58" s="264"/>
      <c r="N58" s="14">
        <f t="shared" si="3"/>
        <v>1</v>
      </c>
      <c r="T58" s="1">
        <f t="shared" si="1"/>
        <v>64</v>
      </c>
      <c r="U58" s="4" t="str">
        <f t="shared" si="2"/>
        <v/>
      </c>
      <c r="V58" s="4" t="e">
        <f>IF($V$3=$M$3,M58,U58*(1+'Tenure Split (WALES)'!C$118))</f>
        <v>#VALUE!</v>
      </c>
      <c r="W58" s="4" t="e">
        <f>V58*(1+'Tenure Split (WALES)'!D$118)</f>
        <v>#VALUE!</v>
      </c>
      <c r="X58" s="4" t="e">
        <f>W58*(1+'Tenure Split (WALES)'!E$118)</f>
        <v>#VALUE!</v>
      </c>
      <c r="Y58" s="4" t="e">
        <f>X58*(1+'Tenure Split (WALES)'!F$118)</f>
        <v>#VALUE!</v>
      </c>
      <c r="Z58" s="4" t="e">
        <f>Y58*(1+'Tenure Split (WALES)'!G$118)</f>
        <v>#VALUE!</v>
      </c>
      <c r="AB58" s="1">
        <v>64</v>
      </c>
      <c r="AC58" s="4">
        <f>IF('Tenure Split (WALES)'!$D$18="Land Registry Data",'House Prices (SE Wales)'!D58,'House Prices (SE Wales)'!V58)</f>
        <v>193340.25003510175</v>
      </c>
      <c r="AD58" s="4">
        <f>IF('Tenure Split (WALES)'!$D$18="Land Registry Data",'House Prices (SE Wales)'!E58,'House Prices (SE Wales)'!W58)</f>
        <v>193770.73268566042</v>
      </c>
      <c r="AE58" s="4">
        <f>IF('Tenure Split (WALES)'!$D$18="Land Registry Data",'House Prices (SE Wales)'!F58,'House Prices (SE Wales)'!X58)</f>
        <v>197941.5275743813</v>
      </c>
      <c r="AF58" s="4">
        <f>IF('Tenure Split (WALES)'!$D$18="Land Registry Data",'House Prices (SE Wales)'!G58,'House Prices (SE Wales)'!Y58)</f>
        <v>205661.08256557115</v>
      </c>
      <c r="AG58" s="4">
        <f>IF('Tenure Split (WALES)'!$D$18="Land Registry Data",'House Prices (SE Wales)'!H58,'House Prices (SE Wales)'!Z58)</f>
        <v>214191.8886200735</v>
      </c>
    </row>
    <row r="59" spans="2:33" x14ac:dyDescent="0.25">
      <c r="B59" s="20">
        <v>65</v>
      </c>
      <c r="C59" s="58">
        <v>190000</v>
      </c>
      <c r="D59" s="59">
        <f>C59*(1+'Tenure Split (SE Wales)'!C$118)</f>
        <v>195397.06120568793</v>
      </c>
      <c r="E59" s="59">
        <f>D59*(1+'Tenure Split (SE Wales)'!D$118)</f>
        <v>195832.12345891213</v>
      </c>
      <c r="F59" s="59">
        <f>E59*(1+'Tenure Split (SE Wales)'!E$118)</f>
        <v>200047.28850602364</v>
      </c>
      <c r="G59" s="59">
        <f>F59*(1+'Tenure Split (SE Wales)'!F$118)</f>
        <v>207848.96642265169</v>
      </c>
      <c r="H59" s="60">
        <f>G59*(1+'Tenure Split (SE Wales)'!G$118)</f>
        <v>216470.52573305299</v>
      </c>
      <c r="L59" s="64" t="str">
        <f t="shared" si="0"/>
        <v/>
      </c>
      <c r="M59" s="264"/>
      <c r="N59" s="14">
        <f t="shared" si="3"/>
        <v>1</v>
      </c>
      <c r="T59" s="1">
        <f t="shared" si="1"/>
        <v>65</v>
      </c>
      <c r="U59" s="4" t="str">
        <f t="shared" si="2"/>
        <v/>
      </c>
      <c r="V59" s="4" t="e">
        <f>IF($V$3=$M$3,M59,U59*(1+'Tenure Split (WALES)'!C$118))</f>
        <v>#VALUE!</v>
      </c>
      <c r="W59" s="4" t="e">
        <f>V59*(1+'Tenure Split (WALES)'!D$118)</f>
        <v>#VALUE!</v>
      </c>
      <c r="X59" s="4" t="e">
        <f>W59*(1+'Tenure Split (WALES)'!E$118)</f>
        <v>#VALUE!</v>
      </c>
      <c r="Y59" s="4" t="e">
        <f>X59*(1+'Tenure Split (WALES)'!F$118)</f>
        <v>#VALUE!</v>
      </c>
      <c r="Z59" s="4" t="e">
        <f>Y59*(1+'Tenure Split (WALES)'!G$118)</f>
        <v>#VALUE!</v>
      </c>
      <c r="AB59" s="1">
        <v>65</v>
      </c>
      <c r="AC59" s="4">
        <f>IF('Tenure Split (WALES)'!$D$18="Land Registry Data",'House Prices (SE Wales)'!D59,'House Prices (SE Wales)'!V59)</f>
        <v>195397.06120568793</v>
      </c>
      <c r="AD59" s="4">
        <f>IF('Tenure Split (WALES)'!$D$18="Land Registry Data",'House Prices (SE Wales)'!E59,'House Prices (SE Wales)'!W59)</f>
        <v>195832.12345891213</v>
      </c>
      <c r="AE59" s="4">
        <f>IF('Tenure Split (WALES)'!$D$18="Land Registry Data",'House Prices (SE Wales)'!F59,'House Prices (SE Wales)'!X59)</f>
        <v>200047.28850602364</v>
      </c>
      <c r="AF59" s="4">
        <f>IF('Tenure Split (WALES)'!$D$18="Land Registry Data",'House Prices (SE Wales)'!G59,'House Prices (SE Wales)'!Y59)</f>
        <v>207848.96642265169</v>
      </c>
      <c r="AG59" s="4">
        <f>IF('Tenure Split (WALES)'!$D$18="Land Registry Data",'House Prices (SE Wales)'!H59,'House Prices (SE Wales)'!Z59)</f>
        <v>216470.52573305299</v>
      </c>
    </row>
    <row r="60" spans="2:33" x14ac:dyDescent="0.25">
      <c r="B60" s="20">
        <v>66</v>
      </c>
      <c r="C60" s="58">
        <v>194000</v>
      </c>
      <c r="D60" s="59">
        <f>C60*(1+'Tenure Split (SE Wales)'!C$118)</f>
        <v>199510.68354686032</v>
      </c>
      <c r="E60" s="59">
        <f>D60*(1+'Tenure Split (SE Wales)'!D$118)</f>
        <v>199954.90500541555</v>
      </c>
      <c r="F60" s="59">
        <f>E60*(1+'Tenure Split (SE Wales)'!E$118)</f>
        <v>204258.81036930837</v>
      </c>
      <c r="G60" s="59">
        <f>F60*(1+'Tenure Split (SE Wales)'!F$118)</f>
        <v>212224.7341368128</v>
      </c>
      <c r="H60" s="60">
        <f>G60*(1+'Tenure Split (SE Wales)'!G$118)</f>
        <v>221027.79995901202</v>
      </c>
      <c r="L60" s="64" t="str">
        <f t="shared" si="0"/>
        <v/>
      </c>
      <c r="M60" s="264"/>
      <c r="N60" s="14">
        <f t="shared" si="3"/>
        <v>1</v>
      </c>
      <c r="T60" s="1">
        <f t="shared" si="1"/>
        <v>66</v>
      </c>
      <c r="U60" s="4" t="str">
        <f t="shared" si="2"/>
        <v/>
      </c>
      <c r="V60" s="4" t="e">
        <f>IF($V$3=$M$3,M60,U60*(1+'Tenure Split (WALES)'!C$118))</f>
        <v>#VALUE!</v>
      </c>
      <c r="W60" s="4" t="e">
        <f>V60*(1+'Tenure Split (WALES)'!D$118)</f>
        <v>#VALUE!</v>
      </c>
      <c r="X60" s="4" t="e">
        <f>W60*(1+'Tenure Split (WALES)'!E$118)</f>
        <v>#VALUE!</v>
      </c>
      <c r="Y60" s="4" t="e">
        <f>X60*(1+'Tenure Split (WALES)'!F$118)</f>
        <v>#VALUE!</v>
      </c>
      <c r="Z60" s="4" t="e">
        <f>Y60*(1+'Tenure Split (WALES)'!G$118)</f>
        <v>#VALUE!</v>
      </c>
      <c r="AB60" s="1">
        <v>66</v>
      </c>
      <c r="AC60" s="4">
        <f>IF('Tenure Split (WALES)'!$D$18="Land Registry Data",'House Prices (SE Wales)'!D60,'House Prices (SE Wales)'!V60)</f>
        <v>199510.68354686032</v>
      </c>
      <c r="AD60" s="4">
        <f>IF('Tenure Split (WALES)'!$D$18="Land Registry Data",'House Prices (SE Wales)'!E60,'House Prices (SE Wales)'!W60)</f>
        <v>199954.90500541555</v>
      </c>
      <c r="AE60" s="4">
        <f>IF('Tenure Split (WALES)'!$D$18="Land Registry Data",'House Prices (SE Wales)'!F60,'House Prices (SE Wales)'!X60)</f>
        <v>204258.81036930837</v>
      </c>
      <c r="AF60" s="4">
        <f>IF('Tenure Split (WALES)'!$D$18="Land Registry Data",'House Prices (SE Wales)'!G60,'House Prices (SE Wales)'!Y60)</f>
        <v>212224.7341368128</v>
      </c>
      <c r="AG60" s="4">
        <f>IF('Tenure Split (WALES)'!$D$18="Land Registry Data",'House Prices (SE Wales)'!H60,'House Prices (SE Wales)'!Z60)</f>
        <v>221027.79995901202</v>
      </c>
    </row>
    <row r="61" spans="2:33" x14ac:dyDescent="0.25">
      <c r="B61" s="20">
        <v>67</v>
      </c>
      <c r="C61" s="58">
        <v>197000</v>
      </c>
      <c r="D61" s="59">
        <f>C61*(1+'Tenure Split (SE Wales)'!C$118)</f>
        <v>202595.90030273961</v>
      </c>
      <c r="E61" s="59">
        <f>D61*(1+'Tenure Split (SE Wales)'!D$118)</f>
        <v>203046.99116529312</v>
      </c>
      <c r="F61" s="59">
        <f>E61*(1+'Tenure Split (SE Wales)'!E$118)</f>
        <v>207417.4517667719</v>
      </c>
      <c r="G61" s="59">
        <f>F61*(1+'Tenure Split (SE Wales)'!F$118)</f>
        <v>215506.55992243363</v>
      </c>
      <c r="H61" s="60">
        <f>G61*(1+'Tenure Split (SE Wales)'!G$118)</f>
        <v>224445.7556284813</v>
      </c>
      <c r="L61" s="64" t="str">
        <f t="shared" si="0"/>
        <v/>
      </c>
      <c r="M61" s="264"/>
      <c r="N61" s="14">
        <f t="shared" si="3"/>
        <v>1</v>
      </c>
      <c r="T61" s="1">
        <f t="shared" si="1"/>
        <v>67</v>
      </c>
      <c r="U61" s="4" t="str">
        <f t="shared" si="2"/>
        <v/>
      </c>
      <c r="V61" s="4" t="e">
        <f>IF($V$3=$M$3,M61,U61*(1+'Tenure Split (WALES)'!C$118))</f>
        <v>#VALUE!</v>
      </c>
      <c r="W61" s="4" t="e">
        <f>V61*(1+'Tenure Split (WALES)'!D$118)</f>
        <v>#VALUE!</v>
      </c>
      <c r="X61" s="4" t="e">
        <f>W61*(1+'Tenure Split (WALES)'!E$118)</f>
        <v>#VALUE!</v>
      </c>
      <c r="Y61" s="4" t="e">
        <f>X61*(1+'Tenure Split (WALES)'!F$118)</f>
        <v>#VALUE!</v>
      </c>
      <c r="Z61" s="4" t="e">
        <f>Y61*(1+'Tenure Split (WALES)'!G$118)</f>
        <v>#VALUE!</v>
      </c>
      <c r="AB61" s="1">
        <v>67</v>
      </c>
      <c r="AC61" s="4">
        <f>IF('Tenure Split (WALES)'!$D$18="Land Registry Data",'House Prices (SE Wales)'!D61,'House Prices (SE Wales)'!V61)</f>
        <v>202595.90030273961</v>
      </c>
      <c r="AD61" s="4">
        <f>IF('Tenure Split (WALES)'!$D$18="Land Registry Data",'House Prices (SE Wales)'!E61,'House Prices (SE Wales)'!W61)</f>
        <v>203046.99116529312</v>
      </c>
      <c r="AE61" s="4">
        <f>IF('Tenure Split (WALES)'!$D$18="Land Registry Data",'House Prices (SE Wales)'!F61,'House Prices (SE Wales)'!X61)</f>
        <v>207417.4517667719</v>
      </c>
      <c r="AF61" s="4">
        <f>IF('Tenure Split (WALES)'!$D$18="Land Registry Data",'House Prices (SE Wales)'!G61,'House Prices (SE Wales)'!Y61)</f>
        <v>215506.55992243363</v>
      </c>
      <c r="AG61" s="4">
        <f>IF('Tenure Split (WALES)'!$D$18="Land Registry Data",'House Prices (SE Wales)'!H61,'House Prices (SE Wales)'!Z61)</f>
        <v>224445.7556284813</v>
      </c>
    </row>
    <row r="62" spans="2:33" x14ac:dyDescent="0.25">
      <c r="B62" s="20">
        <v>68</v>
      </c>
      <c r="C62" s="58">
        <v>200000</v>
      </c>
      <c r="D62" s="59">
        <f>C62*(1+'Tenure Split (SE Wales)'!C$118)</f>
        <v>205681.1170586189</v>
      </c>
      <c r="E62" s="59">
        <f>D62*(1+'Tenure Split (SE Wales)'!D$118)</f>
        <v>206139.07732517069</v>
      </c>
      <c r="F62" s="59">
        <f>E62*(1+'Tenure Split (SE Wales)'!E$118)</f>
        <v>210576.09316423544</v>
      </c>
      <c r="G62" s="59">
        <f>F62*(1+'Tenure Split (SE Wales)'!F$118)</f>
        <v>218788.38570805444</v>
      </c>
      <c r="H62" s="60">
        <f>G62*(1+'Tenure Split (SE Wales)'!G$118)</f>
        <v>227863.71129795056</v>
      </c>
      <c r="L62" s="64" t="str">
        <f t="shared" si="0"/>
        <v/>
      </c>
      <c r="M62" s="264"/>
      <c r="N62" s="14">
        <f t="shared" si="3"/>
        <v>1</v>
      </c>
      <c r="T62" s="1">
        <f t="shared" si="1"/>
        <v>68</v>
      </c>
      <c r="U62" s="4" t="str">
        <f t="shared" si="2"/>
        <v/>
      </c>
      <c r="V62" s="4" t="e">
        <f>IF($V$3=$M$3,M62,U62*(1+'Tenure Split (WALES)'!C$118))</f>
        <v>#VALUE!</v>
      </c>
      <c r="W62" s="4" t="e">
        <f>V62*(1+'Tenure Split (WALES)'!D$118)</f>
        <v>#VALUE!</v>
      </c>
      <c r="X62" s="4" t="e">
        <f>W62*(1+'Tenure Split (WALES)'!E$118)</f>
        <v>#VALUE!</v>
      </c>
      <c r="Y62" s="4" t="e">
        <f>X62*(1+'Tenure Split (WALES)'!F$118)</f>
        <v>#VALUE!</v>
      </c>
      <c r="Z62" s="4" t="e">
        <f>Y62*(1+'Tenure Split (WALES)'!G$118)</f>
        <v>#VALUE!</v>
      </c>
      <c r="AB62" s="1">
        <v>68</v>
      </c>
      <c r="AC62" s="4">
        <f>IF('Tenure Split (WALES)'!$D$18="Land Registry Data",'House Prices (SE Wales)'!D62,'House Prices (SE Wales)'!V62)</f>
        <v>205681.1170586189</v>
      </c>
      <c r="AD62" s="4">
        <f>IF('Tenure Split (WALES)'!$D$18="Land Registry Data",'House Prices (SE Wales)'!E62,'House Prices (SE Wales)'!W62)</f>
        <v>206139.07732517069</v>
      </c>
      <c r="AE62" s="4">
        <f>IF('Tenure Split (WALES)'!$D$18="Land Registry Data",'House Prices (SE Wales)'!F62,'House Prices (SE Wales)'!X62)</f>
        <v>210576.09316423544</v>
      </c>
      <c r="AF62" s="4">
        <f>IF('Tenure Split (WALES)'!$D$18="Land Registry Data",'House Prices (SE Wales)'!G62,'House Prices (SE Wales)'!Y62)</f>
        <v>218788.38570805444</v>
      </c>
      <c r="AG62" s="4">
        <f>IF('Tenure Split (WALES)'!$D$18="Land Registry Data",'House Prices (SE Wales)'!H62,'House Prices (SE Wales)'!Z62)</f>
        <v>227863.71129795056</v>
      </c>
    </row>
    <row r="63" spans="2:33" x14ac:dyDescent="0.25">
      <c r="B63" s="20">
        <v>69</v>
      </c>
      <c r="C63" s="58">
        <v>204995</v>
      </c>
      <c r="D63" s="59">
        <f>C63*(1+'Tenure Split (SE Wales)'!C$118)</f>
        <v>210818.00295715791</v>
      </c>
      <c r="E63" s="59">
        <f>D63*(1+'Tenure Split (SE Wales)'!D$118)</f>
        <v>211287.40078136683</v>
      </c>
      <c r="F63" s="59">
        <f>E63*(1+'Tenure Split (SE Wales)'!E$118)</f>
        <v>215835.23109101222</v>
      </c>
      <c r="G63" s="59">
        <f>F63*(1+'Tenure Split (SE Wales)'!F$118)</f>
        <v>224252.62564111312</v>
      </c>
      <c r="H63" s="60">
        <f>G63*(1+'Tenure Split (SE Wales)'!G$118)</f>
        <v>233554.60748761689</v>
      </c>
      <c r="L63" s="64" t="str">
        <f t="shared" si="0"/>
        <v/>
      </c>
      <c r="M63" s="264"/>
      <c r="N63" s="14">
        <f t="shared" si="3"/>
        <v>1</v>
      </c>
      <c r="T63" s="1">
        <f t="shared" si="1"/>
        <v>69</v>
      </c>
      <c r="U63" s="4" t="str">
        <f t="shared" si="2"/>
        <v/>
      </c>
      <c r="V63" s="4" t="e">
        <f>IF($V$3=$M$3,M63,U63*(1+'Tenure Split (WALES)'!C$118))</f>
        <v>#VALUE!</v>
      </c>
      <c r="W63" s="4" t="e">
        <f>V63*(1+'Tenure Split (WALES)'!D$118)</f>
        <v>#VALUE!</v>
      </c>
      <c r="X63" s="4" t="e">
        <f>W63*(1+'Tenure Split (WALES)'!E$118)</f>
        <v>#VALUE!</v>
      </c>
      <c r="Y63" s="4" t="e">
        <f>X63*(1+'Tenure Split (WALES)'!F$118)</f>
        <v>#VALUE!</v>
      </c>
      <c r="Z63" s="4" t="e">
        <f>Y63*(1+'Tenure Split (WALES)'!G$118)</f>
        <v>#VALUE!</v>
      </c>
      <c r="AB63" s="1">
        <v>69</v>
      </c>
      <c r="AC63" s="4">
        <f>IF('Tenure Split (WALES)'!$D$18="Land Registry Data",'House Prices (SE Wales)'!D63,'House Prices (SE Wales)'!V63)</f>
        <v>210818.00295715791</v>
      </c>
      <c r="AD63" s="4">
        <f>IF('Tenure Split (WALES)'!$D$18="Land Registry Data",'House Prices (SE Wales)'!E63,'House Prices (SE Wales)'!W63)</f>
        <v>211287.40078136683</v>
      </c>
      <c r="AE63" s="4">
        <f>IF('Tenure Split (WALES)'!$D$18="Land Registry Data",'House Prices (SE Wales)'!F63,'House Prices (SE Wales)'!X63)</f>
        <v>215835.23109101222</v>
      </c>
      <c r="AF63" s="4">
        <f>IF('Tenure Split (WALES)'!$D$18="Land Registry Data",'House Prices (SE Wales)'!G63,'House Prices (SE Wales)'!Y63)</f>
        <v>224252.62564111312</v>
      </c>
      <c r="AG63" s="4">
        <f>IF('Tenure Split (WALES)'!$D$18="Land Registry Data",'House Prices (SE Wales)'!H63,'House Prices (SE Wales)'!Z63)</f>
        <v>233554.60748761689</v>
      </c>
    </row>
    <row r="64" spans="2:33" x14ac:dyDescent="0.25">
      <c r="B64" s="20">
        <v>70</v>
      </c>
      <c r="C64" s="58">
        <v>208000</v>
      </c>
      <c r="D64" s="59">
        <f>C64*(1+'Tenure Split (SE Wales)'!C$118)</f>
        <v>213908.36174096365</v>
      </c>
      <c r="E64" s="59">
        <f>D64*(1+'Tenure Split (SE Wales)'!D$118)</f>
        <v>214384.6404181775</v>
      </c>
      <c r="F64" s="59">
        <f>E64*(1+'Tenure Split (SE Wales)'!E$118)</f>
        <v>218999.13689080483</v>
      </c>
      <c r="G64" s="59">
        <f>F64*(1+'Tenure Split (SE Wales)'!F$118)</f>
        <v>227539.92113637659</v>
      </c>
      <c r="H64" s="60">
        <f>G64*(1+'Tenure Split (SE Wales)'!G$118)</f>
        <v>236978.25974986856</v>
      </c>
      <c r="L64" s="64" t="str">
        <f t="shared" si="0"/>
        <v/>
      </c>
      <c r="M64" s="264"/>
      <c r="N64" s="14">
        <f t="shared" si="3"/>
        <v>1</v>
      </c>
      <c r="T64" s="1">
        <f t="shared" si="1"/>
        <v>70</v>
      </c>
      <c r="U64" s="4" t="str">
        <f t="shared" si="2"/>
        <v/>
      </c>
      <c r="V64" s="4" t="e">
        <f>IF($V$3=$M$3,M64,U64*(1+'Tenure Split (WALES)'!C$118))</f>
        <v>#VALUE!</v>
      </c>
      <c r="W64" s="4" t="e">
        <f>V64*(1+'Tenure Split (WALES)'!D$118)</f>
        <v>#VALUE!</v>
      </c>
      <c r="X64" s="4" t="e">
        <f>W64*(1+'Tenure Split (WALES)'!E$118)</f>
        <v>#VALUE!</v>
      </c>
      <c r="Y64" s="4" t="e">
        <f>X64*(1+'Tenure Split (WALES)'!F$118)</f>
        <v>#VALUE!</v>
      </c>
      <c r="Z64" s="4" t="e">
        <f>Y64*(1+'Tenure Split (WALES)'!G$118)</f>
        <v>#VALUE!</v>
      </c>
      <c r="AB64" s="1">
        <v>70</v>
      </c>
      <c r="AC64" s="4">
        <f>IF('Tenure Split (WALES)'!$D$18="Land Registry Data",'House Prices (SE Wales)'!D64,'House Prices (SE Wales)'!V64)</f>
        <v>213908.36174096365</v>
      </c>
      <c r="AD64" s="4">
        <f>IF('Tenure Split (WALES)'!$D$18="Land Registry Data",'House Prices (SE Wales)'!E64,'House Prices (SE Wales)'!W64)</f>
        <v>214384.6404181775</v>
      </c>
      <c r="AE64" s="4">
        <f>IF('Tenure Split (WALES)'!$D$18="Land Registry Data",'House Prices (SE Wales)'!F64,'House Prices (SE Wales)'!X64)</f>
        <v>218999.13689080483</v>
      </c>
      <c r="AF64" s="4">
        <f>IF('Tenure Split (WALES)'!$D$18="Land Registry Data",'House Prices (SE Wales)'!G64,'House Prices (SE Wales)'!Y64)</f>
        <v>227539.92113637659</v>
      </c>
      <c r="AG64" s="4">
        <f>IF('Tenure Split (WALES)'!$D$18="Land Registry Data",'House Prices (SE Wales)'!H64,'House Prices (SE Wales)'!Z64)</f>
        <v>236978.25974986856</v>
      </c>
    </row>
    <row r="65" spans="2:33" x14ac:dyDescent="0.25">
      <c r="B65" s="20">
        <v>71</v>
      </c>
      <c r="C65" s="58">
        <v>210000</v>
      </c>
      <c r="D65" s="59">
        <f>C65*(1+'Tenure Split (SE Wales)'!C$118)</f>
        <v>215965.17291154983</v>
      </c>
      <c r="E65" s="59">
        <f>D65*(1+'Tenure Split (SE Wales)'!D$118)</f>
        <v>216446.03119142921</v>
      </c>
      <c r="F65" s="59">
        <f>E65*(1+'Tenure Split (SE Wales)'!E$118)</f>
        <v>221104.89782244721</v>
      </c>
      <c r="G65" s="59">
        <f>F65*(1+'Tenure Split (SE Wales)'!F$118)</f>
        <v>229727.80499345716</v>
      </c>
      <c r="H65" s="60">
        <f>G65*(1+'Tenure Split (SE Wales)'!G$118)</f>
        <v>239256.89686284808</v>
      </c>
      <c r="L65" s="64" t="str">
        <f t="shared" si="0"/>
        <v/>
      </c>
      <c r="M65" s="264"/>
      <c r="N65" s="14">
        <f t="shared" si="3"/>
        <v>1</v>
      </c>
      <c r="T65" s="1">
        <f t="shared" si="1"/>
        <v>71</v>
      </c>
      <c r="U65" s="4" t="str">
        <f t="shared" si="2"/>
        <v/>
      </c>
      <c r="V65" s="4" t="e">
        <f>IF($V$3=$M$3,M65,U65*(1+'Tenure Split (WALES)'!C$118))</f>
        <v>#VALUE!</v>
      </c>
      <c r="W65" s="4" t="e">
        <f>V65*(1+'Tenure Split (WALES)'!D$118)</f>
        <v>#VALUE!</v>
      </c>
      <c r="X65" s="4" t="e">
        <f>W65*(1+'Tenure Split (WALES)'!E$118)</f>
        <v>#VALUE!</v>
      </c>
      <c r="Y65" s="4" t="e">
        <f>X65*(1+'Tenure Split (WALES)'!F$118)</f>
        <v>#VALUE!</v>
      </c>
      <c r="Z65" s="4" t="e">
        <f>Y65*(1+'Tenure Split (WALES)'!G$118)</f>
        <v>#VALUE!</v>
      </c>
      <c r="AB65" s="1">
        <v>71</v>
      </c>
      <c r="AC65" s="4">
        <f>IF('Tenure Split (WALES)'!$D$18="Land Registry Data",'House Prices (SE Wales)'!D65,'House Prices (SE Wales)'!V65)</f>
        <v>215965.17291154983</v>
      </c>
      <c r="AD65" s="4">
        <f>IF('Tenure Split (WALES)'!$D$18="Land Registry Data",'House Prices (SE Wales)'!E65,'House Prices (SE Wales)'!W65)</f>
        <v>216446.03119142921</v>
      </c>
      <c r="AE65" s="4">
        <f>IF('Tenure Split (WALES)'!$D$18="Land Registry Data",'House Prices (SE Wales)'!F65,'House Prices (SE Wales)'!X65)</f>
        <v>221104.89782244721</v>
      </c>
      <c r="AF65" s="4">
        <f>IF('Tenure Split (WALES)'!$D$18="Land Registry Data",'House Prices (SE Wales)'!G65,'House Prices (SE Wales)'!Y65)</f>
        <v>229727.80499345716</v>
      </c>
      <c r="AG65" s="4">
        <f>IF('Tenure Split (WALES)'!$D$18="Land Registry Data",'House Prices (SE Wales)'!H65,'House Prices (SE Wales)'!Z65)</f>
        <v>239256.89686284808</v>
      </c>
    </row>
    <row r="66" spans="2:33" x14ac:dyDescent="0.25">
      <c r="B66" s="20">
        <v>72</v>
      </c>
      <c r="C66" s="58">
        <v>215000</v>
      </c>
      <c r="D66" s="59">
        <f>C66*(1+'Tenure Split (SE Wales)'!C$118)</f>
        <v>221107.2008380153</v>
      </c>
      <c r="E66" s="59">
        <f>D66*(1+'Tenure Split (SE Wales)'!D$118)</f>
        <v>221599.50812455846</v>
      </c>
      <c r="F66" s="59">
        <f>E66*(1+'Tenure Split (SE Wales)'!E$118)</f>
        <v>226369.30015155306</v>
      </c>
      <c r="G66" s="59">
        <f>F66*(1+'Tenure Split (SE Wales)'!F$118)</f>
        <v>235197.51463615851</v>
      </c>
      <c r="H66" s="60">
        <f>G66*(1+'Tenure Split (SE Wales)'!G$118)</f>
        <v>244953.48964529682</v>
      </c>
      <c r="L66" s="64" t="str">
        <f t="shared" si="0"/>
        <v/>
      </c>
      <c r="M66" s="264"/>
      <c r="N66" s="14">
        <f t="shared" si="3"/>
        <v>1</v>
      </c>
      <c r="T66" s="1">
        <f t="shared" si="1"/>
        <v>72</v>
      </c>
      <c r="U66" s="4" t="str">
        <f t="shared" si="2"/>
        <v/>
      </c>
      <c r="V66" s="4" t="e">
        <f>IF($V$3=$M$3,M66,U66*(1+'Tenure Split (WALES)'!C$118))</f>
        <v>#VALUE!</v>
      </c>
      <c r="W66" s="4" t="e">
        <f>V66*(1+'Tenure Split (WALES)'!D$118)</f>
        <v>#VALUE!</v>
      </c>
      <c r="X66" s="4" t="e">
        <f>W66*(1+'Tenure Split (WALES)'!E$118)</f>
        <v>#VALUE!</v>
      </c>
      <c r="Y66" s="4" t="e">
        <f>X66*(1+'Tenure Split (WALES)'!F$118)</f>
        <v>#VALUE!</v>
      </c>
      <c r="Z66" s="4" t="e">
        <f>Y66*(1+'Tenure Split (WALES)'!G$118)</f>
        <v>#VALUE!</v>
      </c>
      <c r="AB66" s="1">
        <v>72</v>
      </c>
      <c r="AC66" s="4">
        <f>IF('Tenure Split (WALES)'!$D$18="Land Registry Data",'House Prices (SE Wales)'!D66,'House Prices (SE Wales)'!V66)</f>
        <v>221107.2008380153</v>
      </c>
      <c r="AD66" s="4">
        <f>IF('Tenure Split (WALES)'!$D$18="Land Registry Data",'House Prices (SE Wales)'!E66,'House Prices (SE Wales)'!W66)</f>
        <v>221599.50812455846</v>
      </c>
      <c r="AE66" s="4">
        <f>IF('Tenure Split (WALES)'!$D$18="Land Registry Data",'House Prices (SE Wales)'!F66,'House Prices (SE Wales)'!X66)</f>
        <v>226369.30015155306</v>
      </c>
      <c r="AF66" s="4">
        <f>IF('Tenure Split (WALES)'!$D$18="Land Registry Data",'House Prices (SE Wales)'!G66,'House Prices (SE Wales)'!Y66)</f>
        <v>235197.51463615851</v>
      </c>
      <c r="AG66" s="4">
        <f>IF('Tenure Split (WALES)'!$D$18="Land Registry Data",'House Prices (SE Wales)'!H66,'House Prices (SE Wales)'!Z66)</f>
        <v>244953.48964529682</v>
      </c>
    </row>
    <row r="67" spans="2:33" x14ac:dyDescent="0.25">
      <c r="B67" s="20">
        <v>73</v>
      </c>
      <c r="C67" s="58">
        <v>219995</v>
      </c>
      <c r="D67" s="59">
        <f>C67*(1+'Tenure Split (SE Wales)'!C$118)</f>
        <v>226244.08673655431</v>
      </c>
      <c r="E67" s="59">
        <f>D67*(1+'Tenure Split (SE Wales)'!D$118)</f>
        <v>226747.8315807546</v>
      </c>
      <c r="F67" s="59">
        <f>E67*(1+'Tenure Split (SE Wales)'!E$118)</f>
        <v>231628.43807832984</v>
      </c>
      <c r="G67" s="59">
        <f>F67*(1+'Tenure Split (SE Wales)'!F$118)</f>
        <v>240661.75456921716</v>
      </c>
      <c r="H67" s="60">
        <f>G67*(1+'Tenure Split (SE Wales)'!G$118)</f>
        <v>250644.38583496312</v>
      </c>
      <c r="L67" s="64" t="str">
        <f t="shared" si="0"/>
        <v/>
      </c>
      <c r="M67" s="264"/>
      <c r="N67" s="14">
        <f t="shared" si="3"/>
        <v>1</v>
      </c>
      <c r="T67" s="1">
        <f t="shared" si="1"/>
        <v>73</v>
      </c>
      <c r="U67" s="4" t="str">
        <f t="shared" si="2"/>
        <v/>
      </c>
      <c r="V67" s="4" t="e">
        <f>IF($V$3=$M$3,M67,U67*(1+'Tenure Split (WALES)'!C$118))</f>
        <v>#VALUE!</v>
      </c>
      <c r="W67" s="4" t="e">
        <f>V67*(1+'Tenure Split (WALES)'!D$118)</f>
        <v>#VALUE!</v>
      </c>
      <c r="X67" s="4" t="e">
        <f>W67*(1+'Tenure Split (WALES)'!E$118)</f>
        <v>#VALUE!</v>
      </c>
      <c r="Y67" s="4" t="e">
        <f>X67*(1+'Tenure Split (WALES)'!F$118)</f>
        <v>#VALUE!</v>
      </c>
      <c r="Z67" s="4" t="e">
        <f>Y67*(1+'Tenure Split (WALES)'!G$118)</f>
        <v>#VALUE!</v>
      </c>
      <c r="AB67" s="1">
        <v>73</v>
      </c>
      <c r="AC67" s="4">
        <f>IF('Tenure Split (WALES)'!$D$18="Land Registry Data",'House Prices (SE Wales)'!D67,'House Prices (SE Wales)'!V67)</f>
        <v>226244.08673655431</v>
      </c>
      <c r="AD67" s="4">
        <f>IF('Tenure Split (WALES)'!$D$18="Land Registry Data",'House Prices (SE Wales)'!E67,'House Prices (SE Wales)'!W67)</f>
        <v>226747.8315807546</v>
      </c>
      <c r="AE67" s="4">
        <f>IF('Tenure Split (WALES)'!$D$18="Land Registry Data",'House Prices (SE Wales)'!F67,'House Prices (SE Wales)'!X67)</f>
        <v>231628.43807832984</v>
      </c>
      <c r="AF67" s="4">
        <f>IF('Tenure Split (WALES)'!$D$18="Land Registry Data",'House Prices (SE Wales)'!G67,'House Prices (SE Wales)'!Y67)</f>
        <v>240661.75456921716</v>
      </c>
      <c r="AG67" s="4">
        <f>IF('Tenure Split (WALES)'!$D$18="Land Registry Data",'House Prices (SE Wales)'!H67,'House Prices (SE Wales)'!Z67)</f>
        <v>250644.38583496312</v>
      </c>
    </row>
    <row r="68" spans="2:33" x14ac:dyDescent="0.25">
      <c r="B68" s="20">
        <v>74</v>
      </c>
      <c r="C68" s="58">
        <v>223250</v>
      </c>
      <c r="D68" s="59">
        <f>C68*(1+'Tenure Split (SE Wales)'!C$118)</f>
        <v>229591.54691668335</v>
      </c>
      <c r="E68" s="59">
        <f>D68*(1+'Tenure Split (SE Wales)'!D$118)</f>
        <v>230102.74506422179</v>
      </c>
      <c r="F68" s="59">
        <f>E68*(1+'Tenure Split (SE Wales)'!E$118)</f>
        <v>235055.56399457782</v>
      </c>
      <c r="G68" s="59">
        <f>F68*(1+'Tenure Split (SE Wales)'!F$118)</f>
        <v>244222.53554661581</v>
      </c>
      <c r="H68" s="60">
        <f>G68*(1+'Tenure Split (SE Wales)'!G$118)</f>
        <v>254352.86773633736</v>
      </c>
      <c r="L68" s="64" t="str">
        <f t="shared" ref="L68:L84" si="4">IF(ISBLANK($K$4),"",B68)</f>
        <v/>
      </c>
      <c r="M68" s="264"/>
      <c r="N68" s="14">
        <f t="shared" si="3"/>
        <v>1</v>
      </c>
      <c r="T68" s="1">
        <f t="shared" ref="T68:T84" si="5">B68</f>
        <v>74</v>
      </c>
      <c r="U68" s="4" t="str">
        <f t="shared" ref="U68:U84" si="6">IF($M$3=$U$3,M68,"")</f>
        <v/>
      </c>
      <c r="V68" s="4" t="e">
        <f>IF($V$3=$M$3,M68,U68*(1+'Tenure Split (WALES)'!C$118))</f>
        <v>#VALUE!</v>
      </c>
      <c r="W68" s="4" t="e">
        <f>V68*(1+'Tenure Split (WALES)'!D$118)</f>
        <v>#VALUE!</v>
      </c>
      <c r="X68" s="4" t="e">
        <f>W68*(1+'Tenure Split (WALES)'!E$118)</f>
        <v>#VALUE!</v>
      </c>
      <c r="Y68" s="4" t="e">
        <f>X68*(1+'Tenure Split (WALES)'!F$118)</f>
        <v>#VALUE!</v>
      </c>
      <c r="Z68" s="4" t="e">
        <f>Y68*(1+'Tenure Split (WALES)'!G$118)</f>
        <v>#VALUE!</v>
      </c>
      <c r="AB68" s="1">
        <v>74</v>
      </c>
      <c r="AC68" s="4">
        <f>IF('Tenure Split (WALES)'!$D$18="Land Registry Data",'House Prices (SE Wales)'!D68,'House Prices (SE Wales)'!V68)</f>
        <v>229591.54691668335</v>
      </c>
      <c r="AD68" s="4">
        <f>IF('Tenure Split (WALES)'!$D$18="Land Registry Data",'House Prices (SE Wales)'!E68,'House Prices (SE Wales)'!W68)</f>
        <v>230102.74506422179</v>
      </c>
      <c r="AE68" s="4">
        <f>IF('Tenure Split (WALES)'!$D$18="Land Registry Data",'House Prices (SE Wales)'!F68,'House Prices (SE Wales)'!X68)</f>
        <v>235055.56399457782</v>
      </c>
      <c r="AF68" s="4">
        <f>IF('Tenure Split (WALES)'!$D$18="Land Registry Data",'House Prices (SE Wales)'!G68,'House Prices (SE Wales)'!Y68)</f>
        <v>244222.53554661581</v>
      </c>
      <c r="AG68" s="4">
        <f>IF('Tenure Split (WALES)'!$D$18="Land Registry Data",'House Prices (SE Wales)'!H68,'House Prices (SE Wales)'!Z68)</f>
        <v>254352.86773633736</v>
      </c>
    </row>
    <row r="69" spans="2:33" x14ac:dyDescent="0.25">
      <c r="B69" s="20">
        <v>75</v>
      </c>
      <c r="C69" s="58">
        <v>226995</v>
      </c>
      <c r="D69" s="59">
        <f>C69*(1+'Tenure Split (SE Wales)'!C$118)</f>
        <v>233442.92583360599</v>
      </c>
      <c r="E69" s="59">
        <f>D69*(1+'Tenure Split (SE Wales)'!D$118)</f>
        <v>233962.69928713559</v>
      </c>
      <c r="F69" s="59">
        <f>E69*(1+'Tenure Split (SE Wales)'!E$118)</f>
        <v>238998.6013390781</v>
      </c>
      <c r="G69" s="59">
        <f>F69*(1+'Tenure Split (SE Wales)'!F$118)</f>
        <v>248319.34806899907</v>
      </c>
      <c r="H69" s="60">
        <f>G69*(1+'Tenure Split (SE Wales)'!G$118)</f>
        <v>258619.61573039141</v>
      </c>
      <c r="L69" s="64" t="str">
        <f t="shared" si="4"/>
        <v/>
      </c>
      <c r="M69" s="264"/>
      <c r="N69" s="14">
        <f t="shared" ref="N69:N84" si="7">IF(ISBLANK(M69),1,0)</f>
        <v>1</v>
      </c>
      <c r="T69" s="1">
        <f t="shared" si="5"/>
        <v>75</v>
      </c>
      <c r="U69" s="4" t="str">
        <f t="shared" si="6"/>
        <v/>
      </c>
      <c r="V69" s="4" t="e">
        <f>IF($V$3=$M$3,M69,U69*(1+'Tenure Split (WALES)'!C$118))</f>
        <v>#VALUE!</v>
      </c>
      <c r="W69" s="4" t="e">
        <f>V69*(1+'Tenure Split (WALES)'!D$118)</f>
        <v>#VALUE!</v>
      </c>
      <c r="X69" s="4" t="e">
        <f>W69*(1+'Tenure Split (WALES)'!E$118)</f>
        <v>#VALUE!</v>
      </c>
      <c r="Y69" s="4" t="e">
        <f>X69*(1+'Tenure Split (WALES)'!F$118)</f>
        <v>#VALUE!</v>
      </c>
      <c r="Z69" s="4" t="e">
        <f>Y69*(1+'Tenure Split (WALES)'!G$118)</f>
        <v>#VALUE!</v>
      </c>
      <c r="AB69" s="1">
        <v>75</v>
      </c>
      <c r="AC69" s="4">
        <f>IF('Tenure Split (WALES)'!$D$18="Land Registry Data",'House Prices (SE Wales)'!D69,'House Prices (SE Wales)'!V69)</f>
        <v>233442.92583360599</v>
      </c>
      <c r="AD69" s="4">
        <f>IF('Tenure Split (WALES)'!$D$18="Land Registry Data",'House Prices (SE Wales)'!E69,'House Prices (SE Wales)'!W69)</f>
        <v>233962.69928713559</v>
      </c>
      <c r="AE69" s="4">
        <f>IF('Tenure Split (WALES)'!$D$18="Land Registry Data",'House Prices (SE Wales)'!F69,'House Prices (SE Wales)'!X69)</f>
        <v>238998.6013390781</v>
      </c>
      <c r="AF69" s="4">
        <f>IF('Tenure Split (WALES)'!$D$18="Land Registry Data",'House Prices (SE Wales)'!G69,'House Prices (SE Wales)'!Y69)</f>
        <v>248319.34806899907</v>
      </c>
      <c r="AG69" s="4">
        <f>IF('Tenure Split (WALES)'!$D$18="Land Registry Data",'House Prices (SE Wales)'!H69,'House Prices (SE Wales)'!Z69)</f>
        <v>258619.61573039141</v>
      </c>
    </row>
    <row r="70" spans="2:33" x14ac:dyDescent="0.25">
      <c r="B70" s="20">
        <v>76</v>
      </c>
      <c r="C70" s="58">
        <v>230000</v>
      </c>
      <c r="D70" s="59">
        <f>C70*(1+'Tenure Split (SE Wales)'!C$118)</f>
        <v>236533.28461741173</v>
      </c>
      <c r="E70" s="59">
        <f>D70*(1+'Tenure Split (SE Wales)'!D$118)</f>
        <v>237059.93892394629</v>
      </c>
      <c r="F70" s="59">
        <f>E70*(1+'Tenure Split (SE Wales)'!E$118)</f>
        <v>242162.50713887074</v>
      </c>
      <c r="G70" s="59">
        <f>F70*(1+'Tenure Split (SE Wales)'!F$118)</f>
        <v>251606.6435642626</v>
      </c>
      <c r="H70" s="60">
        <f>G70*(1+'Tenure Split (SE Wales)'!G$118)</f>
        <v>262043.26799264314</v>
      </c>
      <c r="L70" s="64" t="str">
        <f t="shared" si="4"/>
        <v/>
      </c>
      <c r="M70" s="264"/>
      <c r="N70" s="14">
        <f t="shared" si="7"/>
        <v>1</v>
      </c>
      <c r="T70" s="1">
        <f t="shared" si="5"/>
        <v>76</v>
      </c>
      <c r="U70" s="4" t="str">
        <f t="shared" si="6"/>
        <v/>
      </c>
      <c r="V70" s="4" t="e">
        <f>IF($V$3=$M$3,M70,U70*(1+'Tenure Split (WALES)'!C$118))</f>
        <v>#VALUE!</v>
      </c>
      <c r="W70" s="4" t="e">
        <f>V70*(1+'Tenure Split (WALES)'!D$118)</f>
        <v>#VALUE!</v>
      </c>
      <c r="X70" s="4" t="e">
        <f>W70*(1+'Tenure Split (WALES)'!E$118)</f>
        <v>#VALUE!</v>
      </c>
      <c r="Y70" s="4" t="e">
        <f>X70*(1+'Tenure Split (WALES)'!F$118)</f>
        <v>#VALUE!</v>
      </c>
      <c r="Z70" s="4" t="e">
        <f>Y70*(1+'Tenure Split (WALES)'!G$118)</f>
        <v>#VALUE!</v>
      </c>
      <c r="AB70" s="1">
        <v>76</v>
      </c>
      <c r="AC70" s="4">
        <f>IF('Tenure Split (WALES)'!$D$18="Land Registry Data",'House Prices (SE Wales)'!D70,'House Prices (SE Wales)'!V70)</f>
        <v>236533.28461741173</v>
      </c>
      <c r="AD70" s="4">
        <f>IF('Tenure Split (WALES)'!$D$18="Land Registry Data",'House Prices (SE Wales)'!E70,'House Prices (SE Wales)'!W70)</f>
        <v>237059.93892394629</v>
      </c>
      <c r="AE70" s="4">
        <f>IF('Tenure Split (WALES)'!$D$18="Land Registry Data",'House Prices (SE Wales)'!F70,'House Prices (SE Wales)'!X70)</f>
        <v>242162.50713887074</v>
      </c>
      <c r="AF70" s="4">
        <f>IF('Tenure Split (WALES)'!$D$18="Land Registry Data",'House Prices (SE Wales)'!G70,'House Prices (SE Wales)'!Y70)</f>
        <v>251606.6435642626</v>
      </c>
      <c r="AG70" s="4">
        <f>IF('Tenure Split (WALES)'!$D$18="Land Registry Data",'House Prices (SE Wales)'!H70,'House Prices (SE Wales)'!Z70)</f>
        <v>262043.26799264314</v>
      </c>
    </row>
    <row r="71" spans="2:33" x14ac:dyDescent="0.25">
      <c r="B71" s="20">
        <v>77</v>
      </c>
      <c r="C71" s="58">
        <v>235000</v>
      </c>
      <c r="D71" s="59">
        <f>C71*(1+'Tenure Split (SE Wales)'!C$118)</f>
        <v>241675.3125438772</v>
      </c>
      <c r="E71" s="59">
        <f>D71*(1+'Tenure Split (SE Wales)'!D$118)</f>
        <v>242213.41585707554</v>
      </c>
      <c r="F71" s="59">
        <f>E71*(1+'Tenure Split (SE Wales)'!E$118)</f>
        <v>247426.90946797663</v>
      </c>
      <c r="G71" s="59">
        <f>F71*(1+'Tenure Split (SE Wales)'!F$118)</f>
        <v>257076.35320696398</v>
      </c>
      <c r="H71" s="60">
        <f>G71*(1+'Tenure Split (SE Wales)'!G$118)</f>
        <v>267739.86077509192</v>
      </c>
      <c r="L71" s="64" t="str">
        <f t="shared" si="4"/>
        <v/>
      </c>
      <c r="M71" s="264"/>
      <c r="N71" s="14">
        <f t="shared" si="7"/>
        <v>1</v>
      </c>
      <c r="T71" s="1">
        <f t="shared" si="5"/>
        <v>77</v>
      </c>
      <c r="U71" s="4" t="str">
        <f t="shared" si="6"/>
        <v/>
      </c>
      <c r="V71" s="4" t="e">
        <f>IF($V$3=$M$3,M71,U71*(1+'Tenure Split (WALES)'!C$118))</f>
        <v>#VALUE!</v>
      </c>
      <c r="W71" s="4" t="e">
        <f>V71*(1+'Tenure Split (WALES)'!D$118)</f>
        <v>#VALUE!</v>
      </c>
      <c r="X71" s="4" t="e">
        <f>W71*(1+'Tenure Split (WALES)'!E$118)</f>
        <v>#VALUE!</v>
      </c>
      <c r="Y71" s="4" t="e">
        <f>X71*(1+'Tenure Split (WALES)'!F$118)</f>
        <v>#VALUE!</v>
      </c>
      <c r="Z71" s="4" t="e">
        <f>Y71*(1+'Tenure Split (WALES)'!G$118)</f>
        <v>#VALUE!</v>
      </c>
      <c r="AB71" s="1">
        <v>77</v>
      </c>
      <c r="AC71" s="4">
        <f>IF('Tenure Split (WALES)'!$D$18="Land Registry Data",'House Prices (SE Wales)'!D71,'House Prices (SE Wales)'!V71)</f>
        <v>241675.3125438772</v>
      </c>
      <c r="AD71" s="4">
        <f>IF('Tenure Split (WALES)'!$D$18="Land Registry Data",'House Prices (SE Wales)'!E71,'House Prices (SE Wales)'!W71)</f>
        <v>242213.41585707554</v>
      </c>
      <c r="AE71" s="4">
        <f>IF('Tenure Split (WALES)'!$D$18="Land Registry Data",'House Prices (SE Wales)'!F71,'House Prices (SE Wales)'!X71)</f>
        <v>247426.90946797663</v>
      </c>
      <c r="AF71" s="4">
        <f>IF('Tenure Split (WALES)'!$D$18="Land Registry Data",'House Prices (SE Wales)'!G71,'House Prices (SE Wales)'!Y71)</f>
        <v>257076.35320696398</v>
      </c>
      <c r="AG71" s="4">
        <f>IF('Tenure Split (WALES)'!$D$18="Land Registry Data",'House Prices (SE Wales)'!H71,'House Prices (SE Wales)'!Z71)</f>
        <v>267739.86077509192</v>
      </c>
    </row>
    <row r="72" spans="2:33" x14ac:dyDescent="0.25">
      <c r="B72" s="20">
        <v>78</v>
      </c>
      <c r="C72" s="58">
        <v>240000</v>
      </c>
      <c r="D72" s="59">
        <f>C72*(1+'Tenure Split (SE Wales)'!C$118)</f>
        <v>246817.34047034266</v>
      </c>
      <c r="E72" s="59">
        <f>D72*(1+'Tenure Split (SE Wales)'!D$118)</f>
        <v>247366.89279020482</v>
      </c>
      <c r="F72" s="59">
        <f>E72*(1+'Tenure Split (SE Wales)'!E$118)</f>
        <v>252691.31179708251</v>
      </c>
      <c r="G72" s="59">
        <f>F72*(1+'Tenure Split (SE Wales)'!F$118)</f>
        <v>262546.06284966535</v>
      </c>
      <c r="H72" s="60">
        <f>G72*(1+'Tenure Split (SE Wales)'!G$118)</f>
        <v>273436.45355754066</v>
      </c>
      <c r="L72" s="64" t="str">
        <f t="shared" si="4"/>
        <v/>
      </c>
      <c r="M72" s="264"/>
      <c r="N72" s="14">
        <f t="shared" si="7"/>
        <v>1</v>
      </c>
      <c r="T72" s="1">
        <f t="shared" si="5"/>
        <v>78</v>
      </c>
      <c r="U72" s="4" t="str">
        <f t="shared" si="6"/>
        <v/>
      </c>
      <c r="V72" s="4" t="e">
        <f>IF($V$3=$M$3,M72,U72*(1+'Tenure Split (WALES)'!C$118))</f>
        <v>#VALUE!</v>
      </c>
      <c r="W72" s="4" t="e">
        <f>V72*(1+'Tenure Split (WALES)'!D$118)</f>
        <v>#VALUE!</v>
      </c>
      <c r="X72" s="4" t="e">
        <f>W72*(1+'Tenure Split (WALES)'!E$118)</f>
        <v>#VALUE!</v>
      </c>
      <c r="Y72" s="4" t="e">
        <f>X72*(1+'Tenure Split (WALES)'!F$118)</f>
        <v>#VALUE!</v>
      </c>
      <c r="Z72" s="4" t="e">
        <f>Y72*(1+'Tenure Split (WALES)'!G$118)</f>
        <v>#VALUE!</v>
      </c>
      <c r="AB72" s="1">
        <v>78</v>
      </c>
      <c r="AC72" s="4">
        <f>IF('Tenure Split (WALES)'!$D$18="Land Registry Data",'House Prices (SE Wales)'!D72,'House Prices (SE Wales)'!V72)</f>
        <v>246817.34047034266</v>
      </c>
      <c r="AD72" s="4">
        <f>IF('Tenure Split (WALES)'!$D$18="Land Registry Data",'House Prices (SE Wales)'!E72,'House Prices (SE Wales)'!W72)</f>
        <v>247366.89279020482</v>
      </c>
      <c r="AE72" s="4">
        <f>IF('Tenure Split (WALES)'!$D$18="Land Registry Data",'House Prices (SE Wales)'!F72,'House Prices (SE Wales)'!X72)</f>
        <v>252691.31179708251</v>
      </c>
      <c r="AF72" s="4">
        <f>IF('Tenure Split (WALES)'!$D$18="Land Registry Data",'House Prices (SE Wales)'!G72,'House Prices (SE Wales)'!Y72)</f>
        <v>262546.06284966535</v>
      </c>
      <c r="AG72" s="4">
        <f>IF('Tenure Split (WALES)'!$D$18="Land Registry Data",'House Prices (SE Wales)'!H72,'House Prices (SE Wales)'!Z72)</f>
        <v>273436.45355754066</v>
      </c>
    </row>
    <row r="73" spans="2:33" x14ac:dyDescent="0.25">
      <c r="B73" s="20">
        <v>79</v>
      </c>
      <c r="C73" s="58">
        <v>245000</v>
      </c>
      <c r="D73" s="59">
        <f>C73*(1+'Tenure Split (SE Wales)'!C$118)</f>
        <v>251959.36839680813</v>
      </c>
      <c r="E73" s="59">
        <f>D73*(1+'Tenure Split (SE Wales)'!D$118)</f>
        <v>252520.36972333406</v>
      </c>
      <c r="F73" s="59">
        <f>E73*(1+'Tenure Split (SE Wales)'!E$118)</f>
        <v>257955.7141261884</v>
      </c>
      <c r="G73" s="59">
        <f>F73*(1+'Tenure Split (SE Wales)'!F$118)</f>
        <v>268015.77249236667</v>
      </c>
      <c r="H73" s="60">
        <f>G73*(1+'Tenure Split (SE Wales)'!G$118)</f>
        <v>279133.04633998941</v>
      </c>
      <c r="L73" s="64" t="str">
        <f t="shared" si="4"/>
        <v/>
      </c>
      <c r="M73" s="264"/>
      <c r="N73" s="14">
        <f t="shared" si="7"/>
        <v>1</v>
      </c>
      <c r="T73" s="1">
        <f t="shared" si="5"/>
        <v>79</v>
      </c>
      <c r="U73" s="4" t="str">
        <f t="shared" si="6"/>
        <v/>
      </c>
      <c r="V73" s="4" t="e">
        <f>IF($V$3=$M$3,M73,U73*(1+'Tenure Split (WALES)'!C$118))</f>
        <v>#VALUE!</v>
      </c>
      <c r="W73" s="4" t="e">
        <f>V73*(1+'Tenure Split (WALES)'!D$118)</f>
        <v>#VALUE!</v>
      </c>
      <c r="X73" s="4" t="e">
        <f>W73*(1+'Tenure Split (WALES)'!E$118)</f>
        <v>#VALUE!</v>
      </c>
      <c r="Y73" s="4" t="e">
        <f>X73*(1+'Tenure Split (WALES)'!F$118)</f>
        <v>#VALUE!</v>
      </c>
      <c r="Z73" s="4" t="e">
        <f>Y73*(1+'Tenure Split (WALES)'!G$118)</f>
        <v>#VALUE!</v>
      </c>
      <c r="AB73" s="1">
        <v>79</v>
      </c>
      <c r="AC73" s="4">
        <f>IF('Tenure Split (WALES)'!$D$18="Land Registry Data",'House Prices (SE Wales)'!D73,'House Prices (SE Wales)'!V73)</f>
        <v>251959.36839680813</v>
      </c>
      <c r="AD73" s="4">
        <f>IF('Tenure Split (WALES)'!$D$18="Land Registry Data",'House Prices (SE Wales)'!E73,'House Prices (SE Wales)'!W73)</f>
        <v>252520.36972333406</v>
      </c>
      <c r="AE73" s="4">
        <f>IF('Tenure Split (WALES)'!$D$18="Land Registry Data",'House Prices (SE Wales)'!F73,'House Prices (SE Wales)'!X73)</f>
        <v>257955.7141261884</v>
      </c>
      <c r="AF73" s="4">
        <f>IF('Tenure Split (WALES)'!$D$18="Land Registry Data",'House Prices (SE Wales)'!G73,'House Prices (SE Wales)'!Y73)</f>
        <v>268015.77249236667</v>
      </c>
      <c r="AG73" s="4">
        <f>IF('Tenure Split (WALES)'!$D$18="Land Registry Data",'House Prices (SE Wales)'!H73,'House Prices (SE Wales)'!Z73)</f>
        <v>279133.04633998941</v>
      </c>
    </row>
    <row r="74" spans="2:33" x14ac:dyDescent="0.25">
      <c r="B74" s="20">
        <v>80</v>
      </c>
      <c r="C74" s="58">
        <v>249999.2</v>
      </c>
      <c r="D74" s="59">
        <f>C74*(1+'Tenure Split (SE Wales)'!C$118)</f>
        <v>257100.57359880538</v>
      </c>
      <c r="E74" s="59">
        <f>D74*(1+'Tenure Split (SE Wales)'!D$118)</f>
        <v>257673.02210015405</v>
      </c>
      <c r="F74" s="59">
        <f>E74*(1+'Tenure Split (SE Wales)'!E$118)</f>
        <v>263219.27415092161</v>
      </c>
      <c r="G74" s="59">
        <f>F74*(1+'Tenure Split (SE Wales)'!F$118)</f>
        <v>273484.6069815252</v>
      </c>
      <c r="H74" s="60">
        <f>G74*(1+'Tenure Split (SE Wales)'!G$118)</f>
        <v>284828.72766759299</v>
      </c>
      <c r="L74" s="64" t="str">
        <f t="shared" si="4"/>
        <v/>
      </c>
      <c r="M74" s="264"/>
      <c r="N74" s="14">
        <f t="shared" si="7"/>
        <v>1</v>
      </c>
      <c r="T74" s="1">
        <f t="shared" si="5"/>
        <v>80</v>
      </c>
      <c r="U74" s="4" t="str">
        <f t="shared" si="6"/>
        <v/>
      </c>
      <c r="V74" s="4" t="e">
        <f>IF($V$3=$M$3,M74,U74*(1+'Tenure Split (WALES)'!C$118))</f>
        <v>#VALUE!</v>
      </c>
      <c r="W74" s="4" t="e">
        <f>V74*(1+'Tenure Split (WALES)'!D$118)</f>
        <v>#VALUE!</v>
      </c>
      <c r="X74" s="4" t="e">
        <f>W74*(1+'Tenure Split (WALES)'!E$118)</f>
        <v>#VALUE!</v>
      </c>
      <c r="Y74" s="4" t="e">
        <f>X74*(1+'Tenure Split (WALES)'!F$118)</f>
        <v>#VALUE!</v>
      </c>
      <c r="Z74" s="4" t="e">
        <f>Y74*(1+'Tenure Split (WALES)'!G$118)</f>
        <v>#VALUE!</v>
      </c>
      <c r="AB74" s="1">
        <v>80</v>
      </c>
      <c r="AC74" s="4">
        <f>IF('Tenure Split (WALES)'!$D$18="Land Registry Data",'House Prices (SE Wales)'!D74,'House Prices (SE Wales)'!V74)</f>
        <v>257100.57359880538</v>
      </c>
      <c r="AD74" s="4">
        <f>IF('Tenure Split (WALES)'!$D$18="Land Registry Data",'House Prices (SE Wales)'!E74,'House Prices (SE Wales)'!W74)</f>
        <v>257673.02210015405</v>
      </c>
      <c r="AE74" s="4">
        <f>IF('Tenure Split (WALES)'!$D$18="Land Registry Data",'House Prices (SE Wales)'!F74,'House Prices (SE Wales)'!X74)</f>
        <v>263219.27415092161</v>
      </c>
      <c r="AF74" s="4">
        <f>IF('Tenure Split (WALES)'!$D$18="Land Registry Data",'House Prices (SE Wales)'!G74,'House Prices (SE Wales)'!Y74)</f>
        <v>273484.6069815252</v>
      </c>
      <c r="AG74" s="4">
        <f>IF('Tenure Split (WALES)'!$D$18="Land Registry Data",'House Prices (SE Wales)'!H74,'House Prices (SE Wales)'!Z74)</f>
        <v>284828.72766759299</v>
      </c>
    </row>
    <row r="75" spans="2:33" x14ac:dyDescent="0.25">
      <c r="B75" s="20">
        <v>81</v>
      </c>
      <c r="C75" s="58">
        <v>255000</v>
      </c>
      <c r="D75" s="59">
        <f>C75*(1+'Tenure Split (SE Wales)'!C$118)</f>
        <v>262243.4242497391</v>
      </c>
      <c r="E75" s="59">
        <f>D75*(1+'Tenure Split (SE Wales)'!D$118)</f>
        <v>262827.32358959265</v>
      </c>
      <c r="F75" s="59">
        <f>E75*(1+'Tenure Split (SE Wales)'!E$118)</f>
        <v>268484.51878440019</v>
      </c>
      <c r="G75" s="59">
        <f>F75*(1+'Tenure Split (SE Wales)'!F$118)</f>
        <v>278955.19177776942</v>
      </c>
      <c r="H75" s="60">
        <f>G75*(1+'Tenure Split (SE Wales)'!G$118)</f>
        <v>290526.23190488695</v>
      </c>
      <c r="L75" s="64" t="str">
        <f t="shared" si="4"/>
        <v/>
      </c>
      <c r="M75" s="264"/>
      <c r="N75" s="14">
        <f t="shared" si="7"/>
        <v>1</v>
      </c>
      <c r="T75" s="1">
        <f t="shared" si="5"/>
        <v>81</v>
      </c>
      <c r="U75" s="4" t="str">
        <f t="shared" si="6"/>
        <v/>
      </c>
      <c r="V75" s="4" t="e">
        <f>IF($V$3=$M$3,M75,U75*(1+'Tenure Split (WALES)'!C$118))</f>
        <v>#VALUE!</v>
      </c>
      <c r="W75" s="4" t="e">
        <f>V75*(1+'Tenure Split (WALES)'!D$118)</f>
        <v>#VALUE!</v>
      </c>
      <c r="X75" s="4" t="e">
        <f>W75*(1+'Tenure Split (WALES)'!E$118)</f>
        <v>#VALUE!</v>
      </c>
      <c r="Y75" s="4" t="e">
        <f>X75*(1+'Tenure Split (WALES)'!F$118)</f>
        <v>#VALUE!</v>
      </c>
      <c r="Z75" s="4" t="e">
        <f>Y75*(1+'Tenure Split (WALES)'!G$118)</f>
        <v>#VALUE!</v>
      </c>
      <c r="AB75" s="1">
        <v>81</v>
      </c>
      <c r="AC75" s="4">
        <f>IF('Tenure Split (WALES)'!$D$18="Land Registry Data",'House Prices (SE Wales)'!D75,'House Prices (SE Wales)'!V75)</f>
        <v>262243.4242497391</v>
      </c>
      <c r="AD75" s="4">
        <f>IF('Tenure Split (WALES)'!$D$18="Land Registry Data",'House Prices (SE Wales)'!E75,'House Prices (SE Wales)'!W75)</f>
        <v>262827.32358959265</v>
      </c>
      <c r="AE75" s="4">
        <f>IF('Tenure Split (WALES)'!$D$18="Land Registry Data",'House Prices (SE Wales)'!F75,'House Prices (SE Wales)'!X75)</f>
        <v>268484.51878440019</v>
      </c>
      <c r="AF75" s="4">
        <f>IF('Tenure Split (WALES)'!$D$18="Land Registry Data",'House Prices (SE Wales)'!G75,'House Prices (SE Wales)'!Y75)</f>
        <v>278955.19177776942</v>
      </c>
      <c r="AG75" s="4">
        <f>IF('Tenure Split (WALES)'!$D$18="Land Registry Data",'House Prices (SE Wales)'!H75,'House Prices (SE Wales)'!Z75)</f>
        <v>290526.23190488695</v>
      </c>
    </row>
    <row r="76" spans="2:33" x14ac:dyDescent="0.25">
      <c r="B76" s="20">
        <v>82</v>
      </c>
      <c r="C76" s="58">
        <v>260000</v>
      </c>
      <c r="D76" s="59">
        <f>C76*(1+'Tenure Split (SE Wales)'!C$118)</f>
        <v>267385.45217620453</v>
      </c>
      <c r="E76" s="59">
        <f>D76*(1+'Tenure Split (SE Wales)'!D$118)</f>
        <v>267980.80052272184</v>
      </c>
      <c r="F76" s="59">
        <f>E76*(1+'Tenure Split (SE Wales)'!E$118)</f>
        <v>273748.92111350602</v>
      </c>
      <c r="G76" s="59">
        <f>F76*(1+'Tenure Split (SE Wales)'!F$118)</f>
        <v>284424.90142047073</v>
      </c>
      <c r="H76" s="60">
        <f>G76*(1+'Tenure Split (SE Wales)'!G$118)</f>
        <v>296222.8246873357</v>
      </c>
      <c r="L76" s="64" t="str">
        <f t="shared" si="4"/>
        <v/>
      </c>
      <c r="M76" s="264"/>
      <c r="N76" s="14">
        <f t="shared" si="7"/>
        <v>1</v>
      </c>
      <c r="T76" s="1">
        <f t="shared" si="5"/>
        <v>82</v>
      </c>
      <c r="U76" s="4" t="str">
        <f t="shared" si="6"/>
        <v/>
      </c>
      <c r="V76" s="4" t="e">
        <f>IF($V$3=$M$3,M76,U76*(1+'Tenure Split (WALES)'!C$118))</f>
        <v>#VALUE!</v>
      </c>
      <c r="W76" s="4" t="e">
        <f>V76*(1+'Tenure Split (WALES)'!D$118)</f>
        <v>#VALUE!</v>
      </c>
      <c r="X76" s="4" t="e">
        <f>W76*(1+'Tenure Split (WALES)'!E$118)</f>
        <v>#VALUE!</v>
      </c>
      <c r="Y76" s="4" t="e">
        <f>X76*(1+'Tenure Split (WALES)'!F$118)</f>
        <v>#VALUE!</v>
      </c>
      <c r="Z76" s="4" t="e">
        <f>Y76*(1+'Tenure Split (WALES)'!G$118)</f>
        <v>#VALUE!</v>
      </c>
      <c r="AB76" s="1">
        <v>82</v>
      </c>
      <c r="AC76" s="4">
        <f>IF('Tenure Split (WALES)'!$D$18="Land Registry Data",'House Prices (SE Wales)'!D76,'House Prices (SE Wales)'!V76)</f>
        <v>267385.45217620453</v>
      </c>
      <c r="AD76" s="4">
        <f>IF('Tenure Split (WALES)'!$D$18="Land Registry Data",'House Prices (SE Wales)'!E76,'House Prices (SE Wales)'!W76)</f>
        <v>267980.80052272184</v>
      </c>
      <c r="AE76" s="4">
        <f>IF('Tenure Split (WALES)'!$D$18="Land Registry Data",'House Prices (SE Wales)'!F76,'House Prices (SE Wales)'!X76)</f>
        <v>273748.92111350602</v>
      </c>
      <c r="AF76" s="4">
        <f>IF('Tenure Split (WALES)'!$D$18="Land Registry Data",'House Prices (SE Wales)'!G76,'House Prices (SE Wales)'!Y76)</f>
        <v>284424.90142047073</v>
      </c>
      <c r="AG76" s="4">
        <f>IF('Tenure Split (WALES)'!$D$18="Land Registry Data",'House Prices (SE Wales)'!H76,'House Prices (SE Wales)'!Z76)</f>
        <v>296222.8246873357</v>
      </c>
    </row>
    <row r="77" spans="2:33" x14ac:dyDescent="0.25">
      <c r="B77" s="20">
        <v>83</v>
      </c>
      <c r="C77" s="58">
        <v>265023.99999999977</v>
      </c>
      <c r="D77" s="59">
        <f>C77*(1+'Tenure Split (SE Wales)'!C$118)</f>
        <v>272552.16183671681</v>
      </c>
      <c r="E77" s="59">
        <f>D77*(1+'Tenure Split (SE Wales)'!D$118)</f>
        <v>273159.01414512994</v>
      </c>
      <c r="F77" s="59">
        <f>E77*(1+'Tenure Split (SE Wales)'!E$118)</f>
        <v>279038.59257379139</v>
      </c>
      <c r="G77" s="59">
        <f>F77*(1+'Tenure Split (SE Wales)'!F$118)</f>
        <v>289920.86566945683</v>
      </c>
      <c r="H77" s="60">
        <f>G77*(1+'Tenure Split (SE Wales)'!G$118)</f>
        <v>301946.76111513999</v>
      </c>
      <c r="L77" s="64" t="str">
        <f t="shared" si="4"/>
        <v/>
      </c>
      <c r="M77" s="264"/>
      <c r="N77" s="14">
        <f t="shared" si="7"/>
        <v>1</v>
      </c>
      <c r="T77" s="1">
        <f t="shared" si="5"/>
        <v>83</v>
      </c>
      <c r="U77" s="4" t="str">
        <f t="shared" si="6"/>
        <v/>
      </c>
      <c r="V77" s="4" t="e">
        <f>IF($V$3=$M$3,M77,U77*(1+'Tenure Split (WALES)'!C$118))</f>
        <v>#VALUE!</v>
      </c>
      <c r="W77" s="4" t="e">
        <f>V77*(1+'Tenure Split (WALES)'!D$118)</f>
        <v>#VALUE!</v>
      </c>
      <c r="X77" s="4" t="e">
        <f>W77*(1+'Tenure Split (WALES)'!E$118)</f>
        <v>#VALUE!</v>
      </c>
      <c r="Y77" s="4" t="e">
        <f>X77*(1+'Tenure Split (WALES)'!F$118)</f>
        <v>#VALUE!</v>
      </c>
      <c r="Z77" s="4" t="e">
        <f>Y77*(1+'Tenure Split (WALES)'!G$118)</f>
        <v>#VALUE!</v>
      </c>
      <c r="AB77" s="1">
        <v>83</v>
      </c>
      <c r="AC77" s="4">
        <f>IF('Tenure Split (WALES)'!$D$18="Land Registry Data",'House Prices (SE Wales)'!D77,'House Prices (SE Wales)'!V77)</f>
        <v>272552.16183671681</v>
      </c>
      <c r="AD77" s="4">
        <f>IF('Tenure Split (WALES)'!$D$18="Land Registry Data",'House Prices (SE Wales)'!E77,'House Prices (SE Wales)'!W77)</f>
        <v>273159.01414512994</v>
      </c>
      <c r="AE77" s="4">
        <f>IF('Tenure Split (WALES)'!$D$18="Land Registry Data",'House Prices (SE Wales)'!F77,'House Prices (SE Wales)'!X77)</f>
        <v>279038.59257379139</v>
      </c>
      <c r="AF77" s="4">
        <f>IF('Tenure Split (WALES)'!$D$18="Land Registry Data",'House Prices (SE Wales)'!G77,'House Prices (SE Wales)'!Y77)</f>
        <v>289920.86566945683</v>
      </c>
      <c r="AG77" s="4">
        <f>IF('Tenure Split (WALES)'!$D$18="Land Registry Data",'House Prices (SE Wales)'!H77,'House Prices (SE Wales)'!Z77)</f>
        <v>301946.76111513999</v>
      </c>
    </row>
    <row r="78" spans="2:33" x14ac:dyDescent="0.25">
      <c r="B78" s="20">
        <v>84</v>
      </c>
      <c r="C78" s="58">
        <v>272000</v>
      </c>
      <c r="D78" s="59">
        <f>C78*(1+'Tenure Split (SE Wales)'!C$118)</f>
        <v>279726.31919972168</v>
      </c>
      <c r="E78" s="59">
        <f>D78*(1+'Tenure Split (SE Wales)'!D$118)</f>
        <v>280349.1451622321</v>
      </c>
      <c r="F78" s="59">
        <f>E78*(1+'Tenure Split (SE Wales)'!E$118)</f>
        <v>286383.48670336016</v>
      </c>
      <c r="G78" s="59">
        <f>F78*(1+'Tenure Split (SE Wales)'!F$118)</f>
        <v>297552.20456295402</v>
      </c>
      <c r="H78" s="60">
        <f>G78*(1+'Tenure Split (SE Wales)'!G$118)</f>
        <v>309894.64736521273</v>
      </c>
      <c r="L78" s="64" t="str">
        <f t="shared" si="4"/>
        <v/>
      </c>
      <c r="M78" s="264"/>
      <c r="N78" s="14">
        <f t="shared" si="7"/>
        <v>1</v>
      </c>
      <c r="T78" s="1">
        <f t="shared" si="5"/>
        <v>84</v>
      </c>
      <c r="U78" s="4" t="str">
        <f t="shared" si="6"/>
        <v/>
      </c>
      <c r="V78" s="4" t="e">
        <f>IF($V$3=$M$3,M78,U78*(1+'Tenure Split (WALES)'!C$118))</f>
        <v>#VALUE!</v>
      </c>
      <c r="W78" s="4" t="e">
        <f>V78*(1+'Tenure Split (WALES)'!D$118)</f>
        <v>#VALUE!</v>
      </c>
      <c r="X78" s="4" t="e">
        <f>W78*(1+'Tenure Split (WALES)'!E$118)</f>
        <v>#VALUE!</v>
      </c>
      <c r="Y78" s="4" t="e">
        <f>X78*(1+'Tenure Split (WALES)'!F$118)</f>
        <v>#VALUE!</v>
      </c>
      <c r="Z78" s="4" t="e">
        <f>Y78*(1+'Tenure Split (WALES)'!G$118)</f>
        <v>#VALUE!</v>
      </c>
      <c r="AB78" s="1">
        <v>84</v>
      </c>
      <c r="AC78" s="4">
        <f>IF('Tenure Split (WALES)'!$D$18="Land Registry Data",'House Prices (SE Wales)'!D78,'House Prices (SE Wales)'!V78)</f>
        <v>279726.31919972168</v>
      </c>
      <c r="AD78" s="4">
        <f>IF('Tenure Split (WALES)'!$D$18="Land Registry Data",'House Prices (SE Wales)'!E78,'House Prices (SE Wales)'!W78)</f>
        <v>280349.1451622321</v>
      </c>
      <c r="AE78" s="4">
        <f>IF('Tenure Split (WALES)'!$D$18="Land Registry Data",'House Prices (SE Wales)'!F78,'House Prices (SE Wales)'!X78)</f>
        <v>286383.48670336016</v>
      </c>
      <c r="AF78" s="4">
        <f>IF('Tenure Split (WALES)'!$D$18="Land Registry Data",'House Prices (SE Wales)'!G78,'House Prices (SE Wales)'!Y78)</f>
        <v>297552.20456295402</v>
      </c>
      <c r="AG78" s="4">
        <f>IF('Tenure Split (WALES)'!$D$18="Land Registry Data",'House Prices (SE Wales)'!H78,'House Prices (SE Wales)'!Z78)</f>
        <v>309894.64736521273</v>
      </c>
    </row>
    <row r="79" spans="2:33" x14ac:dyDescent="0.25">
      <c r="B79" s="20">
        <v>85</v>
      </c>
      <c r="C79" s="58">
        <v>279950</v>
      </c>
      <c r="D79" s="59">
        <f>C79*(1+'Tenure Split (SE Wales)'!C$118)</f>
        <v>287902.14360280178</v>
      </c>
      <c r="E79" s="59">
        <f>D79*(1+'Tenure Split (SE Wales)'!D$118)</f>
        <v>288543.17348590767</v>
      </c>
      <c r="F79" s="59">
        <f>E79*(1+'Tenure Split (SE Wales)'!E$118)</f>
        <v>294753.88640663854</v>
      </c>
      <c r="G79" s="59">
        <f>F79*(1+'Tenure Split (SE Wales)'!F$118)</f>
        <v>306249.0428948492</v>
      </c>
      <c r="H79" s="60">
        <f>G79*(1+'Tenure Split (SE Wales)'!G$118)</f>
        <v>318952.2298893063</v>
      </c>
      <c r="L79" s="64" t="str">
        <f t="shared" si="4"/>
        <v/>
      </c>
      <c r="M79" s="264"/>
      <c r="N79" s="14">
        <f t="shared" si="7"/>
        <v>1</v>
      </c>
      <c r="T79" s="1">
        <f t="shared" si="5"/>
        <v>85</v>
      </c>
      <c r="U79" s="4" t="str">
        <f t="shared" si="6"/>
        <v/>
      </c>
      <c r="V79" s="4" t="e">
        <f>IF($V$3=$M$3,M79,U79*(1+'Tenure Split (WALES)'!C$118))</f>
        <v>#VALUE!</v>
      </c>
      <c r="W79" s="4" t="e">
        <f>V79*(1+'Tenure Split (WALES)'!D$118)</f>
        <v>#VALUE!</v>
      </c>
      <c r="X79" s="4" t="e">
        <f>W79*(1+'Tenure Split (WALES)'!E$118)</f>
        <v>#VALUE!</v>
      </c>
      <c r="Y79" s="4" t="e">
        <f>X79*(1+'Tenure Split (WALES)'!F$118)</f>
        <v>#VALUE!</v>
      </c>
      <c r="Z79" s="4" t="e">
        <f>Y79*(1+'Tenure Split (WALES)'!G$118)</f>
        <v>#VALUE!</v>
      </c>
      <c r="AB79" s="1">
        <v>85</v>
      </c>
      <c r="AC79" s="4">
        <f>IF('Tenure Split (WALES)'!$D$18="Land Registry Data",'House Prices (SE Wales)'!D79,'House Prices (SE Wales)'!V79)</f>
        <v>287902.14360280178</v>
      </c>
      <c r="AD79" s="4">
        <f>IF('Tenure Split (WALES)'!$D$18="Land Registry Data",'House Prices (SE Wales)'!E79,'House Prices (SE Wales)'!W79)</f>
        <v>288543.17348590767</v>
      </c>
      <c r="AE79" s="4">
        <f>IF('Tenure Split (WALES)'!$D$18="Land Registry Data",'House Prices (SE Wales)'!F79,'House Prices (SE Wales)'!X79)</f>
        <v>294753.88640663854</v>
      </c>
      <c r="AF79" s="4">
        <f>IF('Tenure Split (WALES)'!$D$18="Land Registry Data",'House Prices (SE Wales)'!G79,'House Prices (SE Wales)'!Y79)</f>
        <v>306249.0428948492</v>
      </c>
      <c r="AG79" s="4">
        <f>IF('Tenure Split (WALES)'!$D$18="Land Registry Data",'House Prices (SE Wales)'!H79,'House Prices (SE Wales)'!Z79)</f>
        <v>318952.2298893063</v>
      </c>
    </row>
    <row r="80" spans="2:33" x14ac:dyDescent="0.25">
      <c r="B80" s="20">
        <v>86</v>
      </c>
      <c r="C80" s="58">
        <v>285000</v>
      </c>
      <c r="D80" s="59">
        <f>C80*(1+'Tenure Split (SE Wales)'!C$118)</f>
        <v>293095.5918085319</v>
      </c>
      <c r="E80" s="59">
        <f>D80*(1+'Tenure Split (SE Wales)'!D$118)</f>
        <v>293748.1851883682</v>
      </c>
      <c r="F80" s="59">
        <f>E80*(1+'Tenure Split (SE Wales)'!E$118)</f>
        <v>300070.93275903544</v>
      </c>
      <c r="G80" s="59">
        <f>F80*(1+'Tenure Split (SE Wales)'!F$118)</f>
        <v>311773.44963397755</v>
      </c>
      <c r="H80" s="60">
        <f>G80*(1+'Tenure Split (SE Wales)'!G$118)</f>
        <v>324705.78859957954</v>
      </c>
      <c r="L80" s="64" t="str">
        <f t="shared" si="4"/>
        <v/>
      </c>
      <c r="M80" s="264"/>
      <c r="N80" s="14">
        <f t="shared" si="7"/>
        <v>1</v>
      </c>
      <c r="T80" s="1">
        <f t="shared" si="5"/>
        <v>86</v>
      </c>
      <c r="U80" s="4" t="str">
        <f t="shared" si="6"/>
        <v/>
      </c>
      <c r="V80" s="4" t="e">
        <f>IF($V$3=$M$3,M80,U80*(1+'Tenure Split (WALES)'!C$118))</f>
        <v>#VALUE!</v>
      </c>
      <c r="W80" s="4" t="e">
        <f>V80*(1+'Tenure Split (WALES)'!D$118)</f>
        <v>#VALUE!</v>
      </c>
      <c r="X80" s="4" t="e">
        <f>W80*(1+'Tenure Split (WALES)'!E$118)</f>
        <v>#VALUE!</v>
      </c>
      <c r="Y80" s="4" t="e">
        <f>X80*(1+'Tenure Split (WALES)'!F$118)</f>
        <v>#VALUE!</v>
      </c>
      <c r="Z80" s="4" t="e">
        <f>Y80*(1+'Tenure Split (WALES)'!G$118)</f>
        <v>#VALUE!</v>
      </c>
      <c r="AB80" s="1">
        <v>86</v>
      </c>
      <c r="AC80" s="4">
        <f>IF('Tenure Split (WALES)'!$D$18="Land Registry Data",'House Prices (SE Wales)'!D80,'House Prices (SE Wales)'!V80)</f>
        <v>293095.5918085319</v>
      </c>
      <c r="AD80" s="4">
        <f>IF('Tenure Split (WALES)'!$D$18="Land Registry Data",'House Prices (SE Wales)'!E80,'House Prices (SE Wales)'!W80)</f>
        <v>293748.1851883682</v>
      </c>
      <c r="AE80" s="4">
        <f>IF('Tenure Split (WALES)'!$D$18="Land Registry Data",'House Prices (SE Wales)'!F80,'House Prices (SE Wales)'!X80)</f>
        <v>300070.93275903544</v>
      </c>
      <c r="AF80" s="4">
        <f>IF('Tenure Split (WALES)'!$D$18="Land Registry Data",'House Prices (SE Wales)'!G80,'House Prices (SE Wales)'!Y80)</f>
        <v>311773.44963397755</v>
      </c>
      <c r="AG80" s="4">
        <f>IF('Tenure Split (WALES)'!$D$18="Land Registry Data",'House Prices (SE Wales)'!H80,'House Prices (SE Wales)'!Z80)</f>
        <v>324705.78859957954</v>
      </c>
    </row>
    <row r="81" spans="2:33" x14ac:dyDescent="0.25">
      <c r="B81" s="20">
        <v>87</v>
      </c>
      <c r="C81" s="58">
        <v>292000</v>
      </c>
      <c r="D81" s="59">
        <f>C81*(1+'Tenure Split (SE Wales)'!C$118)</f>
        <v>300294.43090558361</v>
      </c>
      <c r="E81" s="59">
        <f>D81*(1+'Tenure Split (SE Wales)'!D$118)</f>
        <v>300963.05289474921</v>
      </c>
      <c r="F81" s="59">
        <f>E81*(1+'Tenure Split (SE Wales)'!E$118)</f>
        <v>307441.09601978376</v>
      </c>
      <c r="G81" s="59">
        <f>F81*(1+'Tenure Split (SE Wales)'!F$118)</f>
        <v>319431.04313375952</v>
      </c>
      <c r="H81" s="60">
        <f>G81*(1+'Tenure Split (SE Wales)'!G$118)</f>
        <v>332681.01849500783</v>
      </c>
      <c r="L81" s="64" t="str">
        <f t="shared" si="4"/>
        <v/>
      </c>
      <c r="M81" s="264"/>
      <c r="N81" s="14">
        <f t="shared" si="7"/>
        <v>1</v>
      </c>
      <c r="T81" s="1">
        <f t="shared" si="5"/>
        <v>87</v>
      </c>
      <c r="U81" s="4" t="str">
        <f t="shared" si="6"/>
        <v/>
      </c>
      <c r="V81" s="4" t="e">
        <f>IF($V$3=$M$3,M81,U81*(1+'Tenure Split (WALES)'!C$118))</f>
        <v>#VALUE!</v>
      </c>
      <c r="W81" s="4" t="e">
        <f>V81*(1+'Tenure Split (WALES)'!D$118)</f>
        <v>#VALUE!</v>
      </c>
      <c r="X81" s="4" t="e">
        <f>W81*(1+'Tenure Split (WALES)'!E$118)</f>
        <v>#VALUE!</v>
      </c>
      <c r="Y81" s="4" t="e">
        <f>X81*(1+'Tenure Split (WALES)'!F$118)</f>
        <v>#VALUE!</v>
      </c>
      <c r="Z81" s="4" t="e">
        <f>Y81*(1+'Tenure Split (WALES)'!G$118)</f>
        <v>#VALUE!</v>
      </c>
      <c r="AB81" s="1">
        <v>87</v>
      </c>
      <c r="AC81" s="4">
        <f>IF('Tenure Split (WALES)'!$D$18="Land Registry Data",'House Prices (SE Wales)'!D81,'House Prices (SE Wales)'!V81)</f>
        <v>300294.43090558361</v>
      </c>
      <c r="AD81" s="4">
        <f>IF('Tenure Split (WALES)'!$D$18="Land Registry Data",'House Prices (SE Wales)'!E81,'House Prices (SE Wales)'!W81)</f>
        <v>300963.05289474921</v>
      </c>
      <c r="AE81" s="4">
        <f>IF('Tenure Split (WALES)'!$D$18="Land Registry Data",'House Prices (SE Wales)'!F81,'House Prices (SE Wales)'!X81)</f>
        <v>307441.09601978376</v>
      </c>
      <c r="AF81" s="4">
        <f>IF('Tenure Split (WALES)'!$D$18="Land Registry Data",'House Prices (SE Wales)'!G81,'House Prices (SE Wales)'!Y81)</f>
        <v>319431.04313375952</v>
      </c>
      <c r="AG81" s="4">
        <f>IF('Tenure Split (WALES)'!$D$18="Land Registry Data",'House Prices (SE Wales)'!H81,'House Prices (SE Wales)'!Z81)</f>
        <v>332681.01849500783</v>
      </c>
    </row>
    <row r="82" spans="2:33" x14ac:dyDescent="0.25">
      <c r="B82" s="20">
        <v>88</v>
      </c>
      <c r="C82" s="58">
        <v>299995</v>
      </c>
      <c r="D82" s="59">
        <f>C82*(1+'Tenure Split (SE Wales)'!C$118)</f>
        <v>308516.53356000187</v>
      </c>
      <c r="E82" s="59">
        <f>D82*(1+'Tenure Split (SE Wales)'!D$118)</f>
        <v>309203.46251082286</v>
      </c>
      <c r="F82" s="59">
        <f>E82*(1+'Tenure Split (SE Wales)'!E$118)</f>
        <v>315858.87534402404</v>
      </c>
      <c r="G82" s="59">
        <f>F82*(1+'Tenure Split (SE Wales)'!F$118)</f>
        <v>328177.10885243898</v>
      </c>
      <c r="H82" s="60">
        <f>G82*(1+'Tenure Split (SE Wales)'!G$118)</f>
        <v>341789.87035414338</v>
      </c>
      <c r="L82" s="64" t="str">
        <f t="shared" si="4"/>
        <v/>
      </c>
      <c r="M82" s="264"/>
      <c r="N82" s="14">
        <f t="shared" si="7"/>
        <v>1</v>
      </c>
      <c r="T82" s="1">
        <f t="shared" si="5"/>
        <v>88</v>
      </c>
      <c r="U82" s="4" t="str">
        <f t="shared" si="6"/>
        <v/>
      </c>
      <c r="V82" s="4" t="e">
        <f>IF($V$3=$M$3,M82,U82*(1+'Tenure Split (WALES)'!C$118))</f>
        <v>#VALUE!</v>
      </c>
      <c r="W82" s="4" t="e">
        <f>V82*(1+'Tenure Split (WALES)'!D$118)</f>
        <v>#VALUE!</v>
      </c>
      <c r="X82" s="4" t="e">
        <f>W82*(1+'Tenure Split (WALES)'!E$118)</f>
        <v>#VALUE!</v>
      </c>
      <c r="Y82" s="4" t="e">
        <f>X82*(1+'Tenure Split (WALES)'!F$118)</f>
        <v>#VALUE!</v>
      </c>
      <c r="Z82" s="4" t="e">
        <f>Y82*(1+'Tenure Split (WALES)'!G$118)</f>
        <v>#VALUE!</v>
      </c>
      <c r="AB82" s="1">
        <v>88</v>
      </c>
      <c r="AC82" s="4">
        <f>IF('Tenure Split (WALES)'!$D$18="Land Registry Data",'House Prices (SE Wales)'!D82,'House Prices (SE Wales)'!V82)</f>
        <v>308516.53356000187</v>
      </c>
      <c r="AD82" s="4">
        <f>IF('Tenure Split (WALES)'!$D$18="Land Registry Data",'House Prices (SE Wales)'!E82,'House Prices (SE Wales)'!W82)</f>
        <v>309203.46251082286</v>
      </c>
      <c r="AE82" s="4">
        <f>IF('Tenure Split (WALES)'!$D$18="Land Registry Data",'House Prices (SE Wales)'!F82,'House Prices (SE Wales)'!X82)</f>
        <v>315858.87534402404</v>
      </c>
      <c r="AF82" s="4">
        <f>IF('Tenure Split (WALES)'!$D$18="Land Registry Data",'House Prices (SE Wales)'!G82,'House Prices (SE Wales)'!Y82)</f>
        <v>328177.10885243898</v>
      </c>
      <c r="AG82" s="4">
        <f>IF('Tenure Split (WALES)'!$D$18="Land Registry Data",'House Prices (SE Wales)'!H82,'House Prices (SE Wales)'!Z82)</f>
        <v>341789.87035414338</v>
      </c>
    </row>
    <row r="83" spans="2:33" x14ac:dyDescent="0.25">
      <c r="B83" s="20">
        <v>89</v>
      </c>
      <c r="C83" s="58">
        <v>310000</v>
      </c>
      <c r="D83" s="59">
        <f>C83*(1+'Tenure Split (SE Wales)'!C$118)</f>
        <v>318805.73144085926</v>
      </c>
      <c r="E83" s="59">
        <f>D83*(1+'Tenure Split (SE Wales)'!D$118)</f>
        <v>319515.56985401455</v>
      </c>
      <c r="F83" s="59">
        <f>E83*(1+'Tenure Split (SE Wales)'!E$118)</f>
        <v>326392.94440456491</v>
      </c>
      <c r="G83" s="59">
        <f>F83*(1+'Tenure Split (SE Wales)'!F$118)</f>
        <v>339121.99784748437</v>
      </c>
      <c r="H83" s="60">
        <f>G83*(1+'Tenure Split (SE Wales)'!G$118)</f>
        <v>353188.75251182332</v>
      </c>
      <c r="L83" s="64" t="str">
        <f t="shared" si="4"/>
        <v/>
      </c>
      <c r="M83" s="264"/>
      <c r="N83" s="14">
        <f t="shared" si="7"/>
        <v>1</v>
      </c>
      <c r="T83" s="1">
        <f t="shared" si="5"/>
        <v>89</v>
      </c>
      <c r="U83" s="4" t="str">
        <f t="shared" si="6"/>
        <v/>
      </c>
      <c r="V83" s="4" t="e">
        <f>IF($V$3=$M$3,M83,U83*(1+'Tenure Split (WALES)'!C$118))</f>
        <v>#VALUE!</v>
      </c>
      <c r="W83" s="4" t="e">
        <f>V83*(1+'Tenure Split (WALES)'!D$118)</f>
        <v>#VALUE!</v>
      </c>
      <c r="X83" s="4" t="e">
        <f>W83*(1+'Tenure Split (WALES)'!E$118)</f>
        <v>#VALUE!</v>
      </c>
      <c r="Y83" s="4" t="e">
        <f>X83*(1+'Tenure Split (WALES)'!F$118)</f>
        <v>#VALUE!</v>
      </c>
      <c r="Z83" s="4" t="e">
        <f>Y83*(1+'Tenure Split (WALES)'!G$118)</f>
        <v>#VALUE!</v>
      </c>
      <c r="AB83" s="1">
        <v>89</v>
      </c>
      <c r="AC83" s="4">
        <f>IF('Tenure Split (WALES)'!$D$18="Land Registry Data",'House Prices (SE Wales)'!D83,'House Prices (SE Wales)'!V83)</f>
        <v>318805.73144085926</v>
      </c>
      <c r="AD83" s="4">
        <f>IF('Tenure Split (WALES)'!$D$18="Land Registry Data",'House Prices (SE Wales)'!E83,'House Prices (SE Wales)'!W83)</f>
        <v>319515.56985401455</v>
      </c>
      <c r="AE83" s="4">
        <f>IF('Tenure Split (WALES)'!$D$18="Land Registry Data",'House Prices (SE Wales)'!F83,'House Prices (SE Wales)'!X83)</f>
        <v>326392.94440456491</v>
      </c>
      <c r="AF83" s="4">
        <f>IF('Tenure Split (WALES)'!$D$18="Land Registry Data",'House Prices (SE Wales)'!G83,'House Prices (SE Wales)'!Y83)</f>
        <v>339121.99784748437</v>
      </c>
      <c r="AG83" s="4">
        <f>IF('Tenure Split (WALES)'!$D$18="Land Registry Data",'House Prices (SE Wales)'!H83,'House Prices (SE Wales)'!Z83)</f>
        <v>353188.75251182332</v>
      </c>
    </row>
    <row r="84" spans="2:33" x14ac:dyDescent="0.25">
      <c r="B84" s="23">
        <v>90</v>
      </c>
      <c r="C84" s="61">
        <v>320000</v>
      </c>
      <c r="D84" s="62">
        <f>C84*(1+'Tenure Split (SE Wales)'!C$118)</f>
        <v>329089.7872937902</v>
      </c>
      <c r="E84" s="62">
        <f>D84*(1+'Tenure Split (SE Wales)'!D$118)</f>
        <v>329822.52372027305</v>
      </c>
      <c r="F84" s="62">
        <f>E84*(1+'Tenure Split (SE Wales)'!E$118)</f>
        <v>336921.74906277662</v>
      </c>
      <c r="G84" s="62">
        <f>F84*(1+'Tenure Split (SE Wales)'!F$118)</f>
        <v>350061.41713288706</v>
      </c>
      <c r="H84" s="63">
        <f>G84*(1+'Tenure Split (SE Wales)'!G$118)</f>
        <v>364581.93807672086</v>
      </c>
      <c r="L84" s="65" t="str">
        <f t="shared" si="4"/>
        <v/>
      </c>
      <c r="M84" s="265"/>
      <c r="N84" s="14">
        <f t="shared" si="7"/>
        <v>1</v>
      </c>
      <c r="T84" s="1">
        <f t="shared" si="5"/>
        <v>90</v>
      </c>
      <c r="U84" s="4" t="str">
        <f t="shared" si="6"/>
        <v/>
      </c>
      <c r="V84" s="4" t="e">
        <f>IF($V$3=$M$3,M84,U84*(1+'Tenure Split (WALES)'!C$118))</f>
        <v>#VALUE!</v>
      </c>
      <c r="W84" s="4" t="e">
        <f>V84*(1+'Tenure Split (WALES)'!D$118)</f>
        <v>#VALUE!</v>
      </c>
      <c r="X84" s="4" t="e">
        <f>W84*(1+'Tenure Split (WALES)'!E$118)</f>
        <v>#VALUE!</v>
      </c>
      <c r="Y84" s="4" t="e">
        <f>X84*(1+'Tenure Split (WALES)'!F$118)</f>
        <v>#VALUE!</v>
      </c>
      <c r="Z84" s="4" t="e">
        <f>Y84*(1+'Tenure Split (WALES)'!G$118)</f>
        <v>#VALUE!</v>
      </c>
      <c r="AB84" s="1">
        <v>90</v>
      </c>
      <c r="AC84" s="4">
        <f>IF('Tenure Split (WALES)'!$D$18="Land Registry Data",'House Prices (SE Wales)'!D84,'House Prices (SE Wales)'!V84)</f>
        <v>329089.7872937902</v>
      </c>
      <c r="AD84" s="4">
        <f>IF('Tenure Split (WALES)'!$D$18="Land Registry Data",'House Prices (SE Wales)'!E84,'House Prices (SE Wales)'!W84)</f>
        <v>329822.52372027305</v>
      </c>
      <c r="AE84" s="4">
        <f>IF('Tenure Split (WALES)'!$D$18="Land Registry Data",'House Prices (SE Wales)'!F84,'House Prices (SE Wales)'!X84)</f>
        <v>336921.74906277662</v>
      </c>
      <c r="AF84" s="4">
        <f>IF('Tenure Split (WALES)'!$D$18="Land Registry Data",'House Prices (SE Wales)'!G84,'House Prices (SE Wales)'!Y84)</f>
        <v>350061.41713288706</v>
      </c>
      <c r="AG84" s="4">
        <f>IF('Tenure Split (WALES)'!$D$18="Land Registry Data",'House Prices (SE Wales)'!H84,'House Prices (SE Wales)'!Z84)</f>
        <v>364581.93807672086</v>
      </c>
    </row>
    <row r="85" spans="2:33" x14ac:dyDescent="0.25">
      <c r="N85" s="14">
        <f>IF(SUM(N4:N84)&gt;0,1,0)</f>
        <v>1</v>
      </c>
    </row>
  </sheetData>
  <sheetProtection sheet="1" objects="1" scenarios="1"/>
  <mergeCells count="3">
    <mergeCell ref="B2:H2"/>
    <mergeCell ref="J2:M2"/>
    <mergeCell ref="J9:J10"/>
  </mergeCells>
  <dataValidations count="2">
    <dataValidation type="list" allowBlank="1" showInputMessage="1" showErrorMessage="1" sqref="K4">
      <formula1>"2017,2018"</formula1>
    </dataValidation>
    <dataValidation type="decimal" operator="greaterThan" allowBlank="1" showInputMessage="1" showErrorMessage="1" sqref="M4:M84">
      <formula1>0</formula1>
    </dataValidation>
  </dataValidations>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1"/>
  <sheetViews>
    <sheetView showGridLines="0" workbookViewId="0"/>
  </sheetViews>
  <sheetFormatPr defaultColWidth="9.140625" defaultRowHeight="15" x14ac:dyDescent="0.25"/>
  <cols>
    <col min="1" max="1" width="2.85546875" style="1" customWidth="1"/>
    <col min="2" max="3" width="29.85546875" style="1" bestFit="1" customWidth="1"/>
    <col min="4" max="8" width="13.28515625" style="1" bestFit="1" customWidth="1"/>
    <col min="9" max="16384" width="9.140625" style="1"/>
  </cols>
  <sheetData>
    <row r="2" spans="2:8" x14ac:dyDescent="0.25">
      <c r="B2" s="397" t="s">
        <v>269</v>
      </c>
      <c r="C2" s="398"/>
      <c r="D2" s="398"/>
      <c r="E2" s="398"/>
      <c r="F2" s="398"/>
      <c r="G2" s="399"/>
    </row>
    <row r="3" spans="2:8" x14ac:dyDescent="0.25">
      <c r="B3" s="400"/>
      <c r="C3" s="401"/>
      <c r="D3" s="401"/>
      <c r="E3" s="401"/>
      <c r="F3" s="401"/>
      <c r="G3" s="402"/>
    </row>
    <row r="4" spans="2:8" x14ac:dyDescent="0.25">
      <c r="B4" s="400"/>
      <c r="C4" s="401"/>
      <c r="D4" s="401"/>
      <c r="E4" s="401"/>
      <c r="F4" s="401"/>
      <c r="G4" s="402"/>
    </row>
    <row r="5" spans="2:8" x14ac:dyDescent="0.25">
      <c r="B5" s="400"/>
      <c r="C5" s="401"/>
      <c r="D5" s="401"/>
      <c r="E5" s="401"/>
      <c r="F5" s="401"/>
      <c r="G5" s="402"/>
    </row>
    <row r="6" spans="2:8" x14ac:dyDescent="0.25">
      <c r="B6" s="254"/>
      <c r="C6" s="254"/>
      <c r="D6" s="254"/>
      <c r="E6" s="254"/>
      <c r="F6" s="254"/>
      <c r="G6" s="254"/>
    </row>
    <row r="7" spans="2:8" s="3" customFormat="1" x14ac:dyDescent="0.25">
      <c r="B7" s="27" t="s">
        <v>8</v>
      </c>
      <c r="C7" s="28" t="s">
        <v>70</v>
      </c>
      <c r="D7" s="29" t="s">
        <v>9</v>
      </c>
      <c r="E7" s="29" t="s">
        <v>10</v>
      </c>
      <c r="F7" s="29" t="s">
        <v>11</v>
      </c>
      <c r="G7" s="29" t="s">
        <v>12</v>
      </c>
      <c r="H7" s="30" t="s">
        <v>13</v>
      </c>
    </row>
    <row r="8" spans="2:8" x14ac:dyDescent="0.25">
      <c r="B8" s="16" t="s">
        <v>14</v>
      </c>
      <c r="C8" s="17" t="s">
        <v>0</v>
      </c>
      <c r="D8" s="18">
        <f>'Household Projections'!E3-'Household Projections'!D3</f>
        <v>1381</v>
      </c>
      <c r="E8" s="18">
        <f>'Household Projections'!F3-'Household Projections'!E3</f>
        <v>1307</v>
      </c>
      <c r="F8" s="18">
        <f>'Household Projections'!G3-'Household Projections'!F3</f>
        <v>1300</v>
      </c>
      <c r="G8" s="18">
        <f>'Household Projections'!H3-'Household Projections'!G3</f>
        <v>1384</v>
      </c>
      <c r="H8" s="19">
        <f>'Household Projections'!I3-'Household Projections'!H3</f>
        <v>1307</v>
      </c>
    </row>
    <row r="9" spans="2:8" x14ac:dyDescent="0.25">
      <c r="B9" s="20" t="s">
        <v>14</v>
      </c>
      <c r="C9" s="12" t="s">
        <v>1</v>
      </c>
      <c r="D9" s="21">
        <f>'Household Projections'!E4-'Household Projections'!D4</f>
        <v>1784</v>
      </c>
      <c r="E9" s="21">
        <f>'Household Projections'!F4-'Household Projections'!E4</f>
        <v>1709</v>
      </c>
      <c r="F9" s="21">
        <f>'Household Projections'!G4-'Household Projections'!F4</f>
        <v>1708</v>
      </c>
      <c r="G9" s="21">
        <f>'Household Projections'!H4-'Household Projections'!G4</f>
        <v>1827</v>
      </c>
      <c r="H9" s="22">
        <f>'Household Projections'!I4-'Household Projections'!H4</f>
        <v>1702</v>
      </c>
    </row>
    <row r="10" spans="2:8" x14ac:dyDescent="0.25">
      <c r="B10" s="20" t="s">
        <v>14</v>
      </c>
      <c r="C10" s="12" t="s">
        <v>2</v>
      </c>
      <c r="D10" s="21">
        <f>'Household Projections'!E5-'Household Projections'!D5</f>
        <v>4054</v>
      </c>
      <c r="E10" s="21">
        <f>'Household Projections'!F5-'Household Projections'!E5</f>
        <v>3949</v>
      </c>
      <c r="F10" s="21">
        <f>'Household Projections'!G5-'Household Projections'!F5</f>
        <v>4021</v>
      </c>
      <c r="G10" s="21">
        <f>'Household Projections'!H5-'Household Projections'!G5</f>
        <v>4285</v>
      </c>
      <c r="H10" s="22">
        <f>'Household Projections'!I5-'Household Projections'!H5</f>
        <v>4109</v>
      </c>
    </row>
    <row r="11" spans="2:8" x14ac:dyDescent="0.25">
      <c r="B11" s="23" t="s">
        <v>14</v>
      </c>
      <c r="C11" s="24" t="s">
        <v>3</v>
      </c>
      <c r="D11" s="25">
        <f>'Household Projections'!E6-'Household Projections'!D6</f>
        <v>7219</v>
      </c>
      <c r="E11" s="25">
        <f>'Household Projections'!F6-'Household Projections'!E6</f>
        <v>6965</v>
      </c>
      <c r="F11" s="25">
        <f>'Household Projections'!G6-'Household Projections'!F6</f>
        <v>7029</v>
      </c>
      <c r="G11" s="25">
        <f>'Household Projections'!H6-'Household Projections'!G6</f>
        <v>7496</v>
      </c>
      <c r="H11" s="26">
        <f>'Household Projections'!I6-'Household Projections'!H6</f>
        <v>7118</v>
      </c>
    </row>
    <row r="12" spans="2:8" x14ac:dyDescent="0.25">
      <c r="B12" s="16" t="s">
        <v>71</v>
      </c>
      <c r="C12" s="17" t="s">
        <v>0</v>
      </c>
      <c r="D12" s="18">
        <f>'Household Projections'!E7-'Household Projections'!D7</f>
        <v>1522</v>
      </c>
      <c r="E12" s="18">
        <f>'Household Projections'!F7-'Household Projections'!E7</f>
        <v>1467</v>
      </c>
      <c r="F12" s="18">
        <f>'Household Projections'!G7-'Household Projections'!F7</f>
        <v>1482</v>
      </c>
      <c r="G12" s="18">
        <f>'Household Projections'!H7-'Household Projections'!G7</f>
        <v>1584</v>
      </c>
      <c r="H12" s="19">
        <f>'Household Projections'!I7-'Household Projections'!H7</f>
        <v>1534</v>
      </c>
    </row>
    <row r="13" spans="2:8" x14ac:dyDescent="0.25">
      <c r="B13" s="20" t="s">
        <v>71</v>
      </c>
      <c r="C13" s="12" t="s">
        <v>1</v>
      </c>
      <c r="D13" s="21">
        <f>'Household Projections'!E8-'Household Projections'!D8</f>
        <v>1959</v>
      </c>
      <c r="E13" s="21">
        <f>'Household Projections'!F8-'Household Projections'!E8</f>
        <v>1908</v>
      </c>
      <c r="F13" s="21">
        <f>'Household Projections'!G8-'Household Projections'!F8</f>
        <v>1932</v>
      </c>
      <c r="G13" s="21">
        <f>'Household Projections'!H8-'Household Projections'!G8</f>
        <v>2078</v>
      </c>
      <c r="H13" s="22">
        <f>'Household Projections'!I8-'Household Projections'!H8</f>
        <v>1985</v>
      </c>
    </row>
    <row r="14" spans="2:8" x14ac:dyDescent="0.25">
      <c r="B14" s="20" t="s">
        <v>71</v>
      </c>
      <c r="C14" s="12" t="s">
        <v>2</v>
      </c>
      <c r="D14" s="21">
        <f>'Household Projections'!E9-'Household Projections'!D9</f>
        <v>4369</v>
      </c>
      <c r="E14" s="21">
        <f>'Household Projections'!F9-'Household Projections'!E9</f>
        <v>4303</v>
      </c>
      <c r="F14" s="21">
        <f>'Household Projections'!G9-'Household Projections'!F9</f>
        <v>4420</v>
      </c>
      <c r="G14" s="21">
        <f>'Household Projections'!H9-'Household Projections'!G9</f>
        <v>4726</v>
      </c>
      <c r="H14" s="22">
        <f>'Household Projections'!I9-'Household Projections'!H9</f>
        <v>4606</v>
      </c>
    </row>
    <row r="15" spans="2:8" x14ac:dyDescent="0.25">
      <c r="B15" s="23" t="s">
        <v>71</v>
      </c>
      <c r="C15" s="24" t="s">
        <v>3</v>
      </c>
      <c r="D15" s="25">
        <f>'Household Projections'!E10-'Household Projections'!D10</f>
        <v>7850</v>
      </c>
      <c r="E15" s="25">
        <f>'Household Projections'!F10-'Household Projections'!E10</f>
        <v>7678</v>
      </c>
      <c r="F15" s="25">
        <f>'Household Projections'!G10-'Household Projections'!F10</f>
        <v>7834</v>
      </c>
      <c r="G15" s="25">
        <f>'Household Projections'!H10-'Household Projections'!G10</f>
        <v>8388</v>
      </c>
      <c r="H15" s="26">
        <f>'Household Projections'!I10-'Household Projections'!H10</f>
        <v>8125</v>
      </c>
    </row>
    <row r="16" spans="2:8" x14ac:dyDescent="0.25">
      <c r="B16" s="16" t="s">
        <v>72</v>
      </c>
      <c r="C16" s="17" t="s">
        <v>0</v>
      </c>
      <c r="D16" s="18">
        <f>'Household Projections'!E11-'Household Projections'!D11</f>
        <v>1122</v>
      </c>
      <c r="E16" s="18">
        <f>'Household Projections'!F11-'Household Projections'!E11</f>
        <v>1018</v>
      </c>
      <c r="F16" s="18">
        <f>'Household Projections'!G11-'Household Projections'!F11</f>
        <v>980</v>
      </c>
      <c r="G16" s="18">
        <f>'Household Projections'!H11-'Household Projections'!G11</f>
        <v>1028</v>
      </c>
      <c r="H16" s="19">
        <f>'Household Projections'!I11-'Household Projections'!H11</f>
        <v>924</v>
      </c>
    </row>
    <row r="17" spans="2:8" x14ac:dyDescent="0.25">
      <c r="B17" s="20" t="s">
        <v>72</v>
      </c>
      <c r="C17" s="12" t="s">
        <v>1</v>
      </c>
      <c r="D17" s="21">
        <f>'Household Projections'!E12-'Household Projections'!D12</f>
        <v>1460</v>
      </c>
      <c r="E17" s="21">
        <f>'Household Projections'!F12-'Household Projections'!E12</f>
        <v>1348</v>
      </c>
      <c r="F17" s="21">
        <f>'Household Projections'!G12-'Household Projections'!F12</f>
        <v>1306</v>
      </c>
      <c r="G17" s="21">
        <f>'Household Projections'!H12-'Household Projections'!G12</f>
        <v>1384</v>
      </c>
      <c r="H17" s="22">
        <f>'Household Projections'!I12-'Household Projections'!H12</f>
        <v>1222</v>
      </c>
    </row>
    <row r="18" spans="2:8" x14ac:dyDescent="0.25">
      <c r="B18" s="20" t="s">
        <v>72</v>
      </c>
      <c r="C18" s="12" t="s">
        <v>2</v>
      </c>
      <c r="D18" s="21">
        <f>'Household Projections'!E13-'Household Projections'!D13</f>
        <v>3489</v>
      </c>
      <c r="E18" s="21">
        <f>'Household Projections'!F13-'Household Projections'!E13</f>
        <v>3305</v>
      </c>
      <c r="F18" s="21">
        <f>'Household Projections'!G13-'Household Projections'!F13</f>
        <v>3301</v>
      </c>
      <c r="G18" s="21">
        <f>'Household Projections'!H13-'Household Projections'!G13</f>
        <v>3483</v>
      </c>
      <c r="H18" s="22">
        <f>'Household Projections'!I13-'Household Projections'!H13</f>
        <v>3243</v>
      </c>
    </row>
    <row r="19" spans="2:8" x14ac:dyDescent="0.25">
      <c r="B19" s="23" t="s">
        <v>72</v>
      </c>
      <c r="C19" s="24" t="s">
        <v>3</v>
      </c>
      <c r="D19" s="25">
        <f>'Household Projections'!E14-'Household Projections'!D14</f>
        <v>6071</v>
      </c>
      <c r="E19" s="25">
        <f>'Household Projections'!F14-'Household Projections'!E14</f>
        <v>5671</v>
      </c>
      <c r="F19" s="25">
        <f>'Household Projections'!G14-'Household Projections'!F14</f>
        <v>5587</v>
      </c>
      <c r="G19" s="25">
        <f>'Household Projections'!H14-'Household Projections'!G14</f>
        <v>5895</v>
      </c>
      <c r="H19" s="26">
        <f>'Household Projections'!I14-'Household Projections'!H14</f>
        <v>5389</v>
      </c>
    </row>
    <row r="20" spans="2:8" x14ac:dyDescent="0.25">
      <c r="B20" s="16" t="s">
        <v>15</v>
      </c>
      <c r="C20" s="17" t="s">
        <v>0</v>
      </c>
      <c r="D20" s="18">
        <f>'Household Projections'!E15-'Household Projections'!D15</f>
        <v>840</v>
      </c>
      <c r="E20" s="18">
        <f>'Household Projections'!F15-'Household Projections'!E15</f>
        <v>759</v>
      </c>
      <c r="F20" s="18">
        <f>'Household Projections'!G15-'Household Projections'!F15</f>
        <v>731</v>
      </c>
      <c r="G20" s="18">
        <f>'Household Projections'!H15-'Household Projections'!G15</f>
        <v>821</v>
      </c>
      <c r="H20" s="19">
        <f>'Household Projections'!I15-'Household Projections'!H15</f>
        <v>738</v>
      </c>
    </row>
    <row r="21" spans="2:8" x14ac:dyDescent="0.25">
      <c r="B21" s="20" t="s">
        <v>15</v>
      </c>
      <c r="C21" s="12" t="s">
        <v>1</v>
      </c>
      <c r="D21" s="21">
        <f>'Household Projections'!E16-'Household Projections'!D16</f>
        <v>1329</v>
      </c>
      <c r="E21" s="21">
        <f>'Household Projections'!F16-'Household Projections'!E16</f>
        <v>1169</v>
      </c>
      <c r="F21" s="21">
        <f>'Household Projections'!G16-'Household Projections'!F16</f>
        <v>997</v>
      </c>
      <c r="G21" s="21">
        <f>'Household Projections'!H16-'Household Projections'!G16</f>
        <v>1094</v>
      </c>
      <c r="H21" s="22">
        <f>'Household Projections'!I16-'Household Projections'!H16</f>
        <v>980</v>
      </c>
    </row>
    <row r="22" spans="2:8" x14ac:dyDescent="0.25">
      <c r="B22" s="20" t="s">
        <v>15</v>
      </c>
      <c r="C22" s="12" t="s">
        <v>2</v>
      </c>
      <c r="D22" s="21">
        <f>'Household Projections'!E17-'Household Projections'!D17</f>
        <v>3970</v>
      </c>
      <c r="E22" s="21">
        <f>'Household Projections'!F17-'Household Projections'!E17</f>
        <v>3653</v>
      </c>
      <c r="F22" s="21">
        <f>'Household Projections'!G17-'Household Projections'!F17</f>
        <v>3452</v>
      </c>
      <c r="G22" s="21">
        <f>'Household Projections'!H17-'Household Projections'!G17</f>
        <v>3650</v>
      </c>
      <c r="H22" s="22">
        <f>'Household Projections'!I17-'Household Projections'!H17</f>
        <v>3451</v>
      </c>
    </row>
    <row r="23" spans="2:8" x14ac:dyDescent="0.25">
      <c r="B23" s="23" t="s">
        <v>15</v>
      </c>
      <c r="C23" s="24" t="s">
        <v>3</v>
      </c>
      <c r="D23" s="25">
        <f>'Household Projections'!E18-'Household Projections'!D18</f>
        <v>6139</v>
      </c>
      <c r="E23" s="25">
        <f>'Household Projections'!F18-'Household Projections'!E18</f>
        <v>5581</v>
      </c>
      <c r="F23" s="25">
        <f>'Household Projections'!G18-'Household Projections'!F18</f>
        <v>5180</v>
      </c>
      <c r="G23" s="25">
        <f>'Household Projections'!H18-'Household Projections'!G18</f>
        <v>5565</v>
      </c>
      <c r="H23" s="26">
        <f>'Household Projections'!I18-'Household Projections'!H18</f>
        <v>5169</v>
      </c>
    </row>
    <row r="24" spans="2:8" x14ac:dyDescent="0.25">
      <c r="B24" s="16" t="s">
        <v>73</v>
      </c>
      <c r="C24" s="17" t="s">
        <v>0</v>
      </c>
      <c r="D24" s="18">
        <f>'Household Projections'!E19-'Household Projections'!D19</f>
        <v>1625</v>
      </c>
      <c r="E24" s="18">
        <f>'Household Projections'!F19-'Household Projections'!E19</f>
        <v>1558</v>
      </c>
      <c r="F24" s="18">
        <f>'Household Projections'!G19-'Household Projections'!F19</f>
        <v>1554</v>
      </c>
      <c r="G24" s="18">
        <f>'Household Projections'!H19-'Household Projections'!G19</f>
        <v>1644</v>
      </c>
      <c r="H24" s="19">
        <f>'Household Projections'!I19-'Household Projections'!H19</f>
        <v>1573</v>
      </c>
    </row>
    <row r="25" spans="2:8" x14ac:dyDescent="0.25">
      <c r="B25" s="20" t="s">
        <v>73</v>
      </c>
      <c r="C25" s="12" t="s">
        <v>1</v>
      </c>
      <c r="D25" s="21">
        <f>'Household Projections'!E20-'Household Projections'!D20</f>
        <v>2281</v>
      </c>
      <c r="E25" s="21">
        <f>'Household Projections'!F20-'Household Projections'!E20</f>
        <v>2209</v>
      </c>
      <c r="F25" s="21">
        <f>'Household Projections'!G20-'Household Projections'!F20</f>
        <v>2208</v>
      </c>
      <c r="G25" s="21">
        <f>'Household Projections'!H20-'Household Projections'!G20</f>
        <v>2333</v>
      </c>
      <c r="H25" s="22">
        <f>'Household Projections'!I20-'Household Projections'!H20</f>
        <v>2216</v>
      </c>
    </row>
    <row r="26" spans="2:8" x14ac:dyDescent="0.25">
      <c r="B26" s="20" t="s">
        <v>73</v>
      </c>
      <c r="C26" s="12" t="s">
        <v>2</v>
      </c>
      <c r="D26" s="21">
        <f>'Household Projections'!E21-'Household Projections'!D21</f>
        <v>4641</v>
      </c>
      <c r="E26" s="21">
        <f>'Household Projections'!F21-'Household Projections'!E21</f>
        <v>4550</v>
      </c>
      <c r="F26" s="21">
        <f>'Household Projections'!G21-'Household Projections'!F21</f>
        <v>4631</v>
      </c>
      <c r="G26" s="21">
        <f>'Household Projections'!H21-'Household Projections'!G21</f>
        <v>4908</v>
      </c>
      <c r="H26" s="22">
        <f>'Household Projections'!I21-'Household Projections'!H21</f>
        <v>4749</v>
      </c>
    </row>
    <row r="27" spans="2:8" x14ac:dyDescent="0.25">
      <c r="B27" s="20" t="s">
        <v>73</v>
      </c>
      <c r="C27" s="12" t="s">
        <v>3</v>
      </c>
      <c r="D27" s="21">
        <f>'Household Projections'!E22-'Household Projections'!D22</f>
        <v>8547</v>
      </c>
      <c r="E27" s="21">
        <f>'Household Projections'!F22-'Household Projections'!E22</f>
        <v>8317</v>
      </c>
      <c r="F27" s="21">
        <f>'Household Projections'!G22-'Household Projections'!F22</f>
        <v>8393</v>
      </c>
      <c r="G27" s="21">
        <f>'Household Projections'!H22-'Household Projections'!G22</f>
        <v>8885</v>
      </c>
      <c r="H27" s="22">
        <f>'Household Projections'!I22-'Household Projections'!H22</f>
        <v>8538</v>
      </c>
    </row>
    <row r="28" spans="2:8" x14ac:dyDescent="0.25">
      <c r="B28" s="32" t="s">
        <v>287</v>
      </c>
      <c r="C28" s="36" t="s">
        <v>0</v>
      </c>
      <c r="D28" s="18">
        <f>'Household Projections'!E23-'Household Projections'!D23</f>
        <v>0</v>
      </c>
      <c r="E28" s="18">
        <f>'Household Projections'!F23-'Household Projections'!E23</f>
        <v>0</v>
      </c>
      <c r="F28" s="18">
        <f>'Household Projections'!G23-'Household Projections'!F23</f>
        <v>0</v>
      </c>
      <c r="G28" s="18">
        <f>'Household Projections'!H23-'Household Projections'!G23</f>
        <v>0</v>
      </c>
      <c r="H28" s="19">
        <f>'Household Projections'!I23-'Household Projections'!H23</f>
        <v>0</v>
      </c>
    </row>
    <row r="29" spans="2:8" x14ac:dyDescent="0.25">
      <c r="B29" s="31" t="s">
        <v>287</v>
      </c>
      <c r="C29" s="37" t="s">
        <v>1</v>
      </c>
      <c r="D29" s="21">
        <f>'Household Projections'!E24-'Household Projections'!D24</f>
        <v>0</v>
      </c>
      <c r="E29" s="21">
        <f>'Household Projections'!F24-'Household Projections'!E24</f>
        <v>0</v>
      </c>
      <c r="F29" s="21">
        <f>'Household Projections'!G24-'Household Projections'!F24</f>
        <v>0</v>
      </c>
      <c r="G29" s="21">
        <f>'Household Projections'!H24-'Household Projections'!G24</f>
        <v>0</v>
      </c>
      <c r="H29" s="22">
        <f>'Household Projections'!I24-'Household Projections'!H24</f>
        <v>0</v>
      </c>
    </row>
    <row r="30" spans="2:8" x14ac:dyDescent="0.25">
      <c r="B30" s="31" t="s">
        <v>287</v>
      </c>
      <c r="C30" s="37" t="s">
        <v>2</v>
      </c>
      <c r="D30" s="21">
        <f>'Household Projections'!E25-'Household Projections'!D25</f>
        <v>0</v>
      </c>
      <c r="E30" s="21">
        <f>'Household Projections'!F25-'Household Projections'!E25</f>
        <v>0</v>
      </c>
      <c r="F30" s="21">
        <f>'Household Projections'!G25-'Household Projections'!F25</f>
        <v>0</v>
      </c>
      <c r="G30" s="21">
        <f>'Household Projections'!H25-'Household Projections'!G25</f>
        <v>0</v>
      </c>
      <c r="H30" s="22">
        <f>'Household Projections'!I25-'Household Projections'!H25</f>
        <v>0</v>
      </c>
    </row>
    <row r="31" spans="2:8" x14ac:dyDescent="0.25">
      <c r="B31" s="33" t="s">
        <v>287</v>
      </c>
      <c r="C31" s="38" t="s">
        <v>3</v>
      </c>
      <c r="D31" s="25">
        <f>'Household Projections'!E26-'Household Projections'!D26</f>
        <v>0</v>
      </c>
      <c r="E31" s="25">
        <f>'Household Projections'!F26-'Household Projections'!E26</f>
        <v>0</v>
      </c>
      <c r="F31" s="25">
        <f>'Household Projections'!G26-'Household Projections'!F26</f>
        <v>0</v>
      </c>
      <c r="G31" s="25">
        <f>'Household Projections'!H26-'Household Projections'!G26</f>
        <v>0</v>
      </c>
      <c r="H31" s="26">
        <f>'Household Projections'!I26-'Household Projections'!H26</f>
        <v>0</v>
      </c>
    </row>
  </sheetData>
  <sheetProtection sheet="1" objects="1" scenarios="1"/>
  <mergeCells count="1">
    <mergeCell ref="B2:G5"/>
  </mergeCell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85" zoomScaleNormal="85" workbookViewId="0">
      <selection activeCell="AA26" sqref="AA26:AA27"/>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2"/>
  <sheetViews>
    <sheetView showGridLines="0" zoomScale="90" zoomScaleNormal="90" workbookViewId="0">
      <selection activeCell="K26" sqref="K26"/>
    </sheetView>
  </sheetViews>
  <sheetFormatPr defaultRowHeight="15" x14ac:dyDescent="0.25"/>
  <cols>
    <col min="1" max="1" width="3.140625" customWidth="1"/>
  </cols>
  <sheetData>
    <row r="2" spans="2:13" ht="15" customHeight="1" x14ac:dyDescent="0.25">
      <c r="B2" s="354" t="s">
        <v>314</v>
      </c>
      <c r="C2" s="355"/>
      <c r="D2" s="355"/>
      <c r="E2" s="355"/>
      <c r="F2" s="355"/>
      <c r="G2" s="355"/>
      <c r="H2" s="355"/>
      <c r="I2" s="355"/>
      <c r="J2" s="355"/>
      <c r="K2" s="355"/>
      <c r="L2" s="355"/>
      <c r="M2" s="356"/>
    </row>
    <row r="3" spans="2:13" x14ac:dyDescent="0.25">
      <c r="B3" s="357"/>
      <c r="C3" s="358"/>
      <c r="D3" s="358"/>
      <c r="E3" s="358"/>
      <c r="F3" s="358"/>
      <c r="G3" s="358"/>
      <c r="H3" s="358"/>
      <c r="I3" s="358"/>
      <c r="J3" s="358"/>
      <c r="K3" s="358"/>
      <c r="L3" s="358"/>
      <c r="M3" s="359"/>
    </row>
    <row r="4" spans="2:13" s="1" customFormat="1" x14ac:dyDescent="0.25"/>
    <row r="5" spans="2:13" x14ac:dyDescent="0.25">
      <c r="B5" s="307" t="s">
        <v>312</v>
      </c>
      <c r="C5" s="305"/>
      <c r="D5" s="305"/>
      <c r="E5" s="305"/>
      <c r="F5" s="305"/>
      <c r="G5" s="305"/>
      <c r="H5" s="305"/>
      <c r="I5" s="305"/>
      <c r="J5" s="305"/>
      <c r="K5" s="305"/>
      <c r="L5" s="305"/>
    </row>
    <row r="6" spans="2:13" x14ac:dyDescent="0.25">
      <c r="B6" s="305"/>
      <c r="C6" s="305"/>
      <c r="D6" s="305"/>
      <c r="E6" s="305"/>
      <c r="F6" s="305"/>
      <c r="G6" s="305"/>
      <c r="H6" s="305"/>
      <c r="I6" s="305"/>
      <c r="J6" s="305"/>
      <c r="K6" s="305"/>
      <c r="L6" s="305"/>
    </row>
    <row r="7" spans="2:13" x14ac:dyDescent="0.25">
      <c r="B7" s="306" t="s">
        <v>322</v>
      </c>
      <c r="C7" s="305"/>
      <c r="D7" s="305"/>
      <c r="E7" s="305"/>
      <c r="F7" s="305"/>
      <c r="G7" s="305"/>
      <c r="H7" s="305"/>
      <c r="I7" s="305"/>
      <c r="J7" s="305"/>
      <c r="K7" s="305"/>
      <c r="L7" s="305"/>
    </row>
    <row r="8" spans="2:13" ht="34.5" customHeight="1" x14ac:dyDescent="0.25">
      <c r="B8" s="353" t="s">
        <v>315</v>
      </c>
      <c r="C8" s="360"/>
      <c r="D8" s="360"/>
      <c r="E8" s="360"/>
      <c r="F8" s="360"/>
      <c r="G8" s="360"/>
      <c r="H8" s="360"/>
      <c r="I8" s="360"/>
      <c r="J8" s="360"/>
      <c r="K8" s="360"/>
      <c r="L8" s="360"/>
      <c r="M8" s="360"/>
    </row>
    <row r="9" spans="2:13" x14ac:dyDescent="0.25">
      <c r="B9" s="306" t="s">
        <v>316</v>
      </c>
      <c r="C9" s="305"/>
      <c r="D9" s="305"/>
      <c r="E9" s="305"/>
      <c r="F9" s="305"/>
      <c r="G9" s="305"/>
      <c r="H9" s="305"/>
      <c r="I9" s="305"/>
      <c r="J9" s="305"/>
      <c r="K9" s="305"/>
      <c r="L9" s="305"/>
    </row>
    <row r="10" spans="2:13" ht="36" customHeight="1" x14ac:dyDescent="0.25">
      <c r="B10" s="353" t="s">
        <v>317</v>
      </c>
      <c r="C10" s="353"/>
      <c r="D10" s="353"/>
      <c r="E10" s="353"/>
      <c r="F10" s="353"/>
      <c r="G10" s="353"/>
      <c r="H10" s="353"/>
      <c r="I10" s="353"/>
      <c r="J10" s="353"/>
      <c r="K10" s="353"/>
      <c r="L10" s="353"/>
      <c r="M10" s="353"/>
    </row>
    <row r="11" spans="2:13" x14ac:dyDescent="0.25">
      <c r="B11" s="305"/>
      <c r="C11" s="305"/>
      <c r="D11" s="305"/>
      <c r="E11" s="305"/>
      <c r="F11" s="305"/>
      <c r="G11" s="305"/>
      <c r="H11" s="305"/>
      <c r="I11" s="305"/>
      <c r="J11" s="305"/>
      <c r="K11" s="305"/>
      <c r="L11" s="305"/>
    </row>
    <row r="12" spans="2:13" x14ac:dyDescent="0.25">
      <c r="B12" s="307" t="s">
        <v>313</v>
      </c>
      <c r="C12" s="305"/>
      <c r="D12" s="305"/>
      <c r="E12" s="305"/>
      <c r="F12" s="305"/>
      <c r="G12" s="305"/>
      <c r="H12" s="305"/>
      <c r="I12" s="305"/>
      <c r="J12" s="305"/>
      <c r="K12" s="305"/>
      <c r="L12" s="305"/>
    </row>
    <row r="13" spans="2:13" x14ac:dyDescent="0.25">
      <c r="B13" s="305"/>
      <c r="C13" s="305"/>
      <c r="D13" s="305"/>
      <c r="E13" s="305"/>
      <c r="F13" s="305"/>
      <c r="G13" s="305"/>
      <c r="H13" s="305"/>
      <c r="I13" s="305"/>
      <c r="J13" s="305"/>
      <c r="K13" s="305"/>
      <c r="L13" s="305"/>
    </row>
    <row r="14" spans="2:13" ht="48" customHeight="1" x14ac:dyDescent="0.25">
      <c r="B14" s="353" t="s">
        <v>321</v>
      </c>
      <c r="C14" s="353"/>
      <c r="D14" s="353"/>
      <c r="E14" s="353"/>
      <c r="F14" s="353"/>
      <c r="G14" s="353"/>
      <c r="H14" s="353"/>
      <c r="I14" s="353"/>
      <c r="J14" s="353"/>
      <c r="K14" s="353"/>
      <c r="L14" s="353"/>
      <c r="M14" s="353"/>
    </row>
    <row r="15" spans="2:13" ht="45.75" customHeight="1" x14ac:dyDescent="0.25">
      <c r="B15" s="353" t="s">
        <v>318</v>
      </c>
      <c r="C15" s="353"/>
      <c r="D15" s="353"/>
      <c r="E15" s="353"/>
      <c r="F15" s="353"/>
      <c r="G15" s="353"/>
      <c r="H15" s="353"/>
      <c r="I15" s="353"/>
      <c r="J15" s="353"/>
      <c r="K15" s="353"/>
      <c r="L15" s="353"/>
      <c r="M15" s="353"/>
    </row>
    <row r="16" spans="2:13" ht="34.5" customHeight="1" x14ac:dyDescent="0.25">
      <c r="B16" s="353" t="s">
        <v>319</v>
      </c>
      <c r="C16" s="353"/>
      <c r="D16" s="353"/>
      <c r="E16" s="353"/>
      <c r="F16" s="353"/>
      <c r="G16" s="353"/>
      <c r="H16" s="353"/>
      <c r="I16" s="353"/>
      <c r="J16" s="353"/>
      <c r="K16" s="353"/>
      <c r="L16" s="353"/>
      <c r="M16" s="353"/>
    </row>
    <row r="17" spans="2:13" ht="60.75" customHeight="1" x14ac:dyDescent="0.25">
      <c r="B17" s="353" t="s">
        <v>320</v>
      </c>
      <c r="C17" s="353"/>
      <c r="D17" s="353"/>
      <c r="E17" s="353"/>
      <c r="F17" s="353"/>
      <c r="G17" s="353"/>
      <c r="H17" s="353"/>
      <c r="I17" s="353"/>
      <c r="J17" s="353"/>
      <c r="K17" s="353"/>
      <c r="L17" s="353"/>
      <c r="M17" s="353"/>
    </row>
    <row r="18" spans="2:13" x14ac:dyDescent="0.25">
      <c r="B18" s="305"/>
      <c r="C18" s="305"/>
      <c r="D18" s="305"/>
      <c r="E18" s="305"/>
      <c r="F18" s="305"/>
      <c r="G18" s="305"/>
      <c r="H18" s="305"/>
      <c r="I18" s="305"/>
      <c r="J18" s="305"/>
      <c r="K18" s="305"/>
      <c r="L18" s="305"/>
    </row>
    <row r="19" spans="2:13" x14ac:dyDescent="0.25">
      <c r="B19" s="307" t="s">
        <v>323</v>
      </c>
      <c r="C19" s="305"/>
      <c r="D19" s="305"/>
      <c r="E19" s="305"/>
      <c r="F19" s="305"/>
      <c r="G19" s="305"/>
      <c r="H19" s="305"/>
      <c r="I19" s="305"/>
      <c r="J19" s="305"/>
      <c r="K19" s="305"/>
      <c r="L19" s="305"/>
    </row>
    <row r="20" spans="2:13" x14ac:dyDescent="0.25">
      <c r="B20" s="305"/>
      <c r="C20" s="305"/>
      <c r="D20" s="305"/>
      <c r="E20" s="305"/>
      <c r="F20" s="305"/>
      <c r="G20" s="305"/>
      <c r="H20" s="305"/>
      <c r="I20" s="305"/>
      <c r="J20" s="305"/>
      <c r="K20" s="305"/>
      <c r="L20" s="305"/>
    </row>
    <row r="21" spans="2:13" ht="34.5" customHeight="1" x14ac:dyDescent="0.25">
      <c r="B21" s="353" t="s">
        <v>324</v>
      </c>
      <c r="C21" s="353"/>
      <c r="D21" s="353"/>
      <c r="E21" s="353"/>
      <c r="F21" s="353"/>
      <c r="G21" s="353"/>
      <c r="H21" s="353"/>
      <c r="I21" s="353"/>
      <c r="J21" s="353"/>
      <c r="K21" s="353"/>
      <c r="L21" s="353"/>
      <c r="M21" s="353"/>
    </row>
    <row r="22" spans="2:13" x14ac:dyDescent="0.25">
      <c r="B22" s="305"/>
      <c r="C22" s="305"/>
      <c r="D22" s="305"/>
      <c r="E22" s="305"/>
      <c r="F22" s="305"/>
      <c r="G22" s="305"/>
      <c r="H22" s="305"/>
      <c r="I22" s="305"/>
      <c r="J22" s="305"/>
      <c r="K22" s="305"/>
      <c r="L22" s="305"/>
    </row>
  </sheetData>
  <sheetProtection sheet="1" objects="1" scenarios="1"/>
  <mergeCells count="8">
    <mergeCell ref="B16:M16"/>
    <mergeCell ref="B17:M17"/>
    <mergeCell ref="B21:M21"/>
    <mergeCell ref="B2:M3"/>
    <mergeCell ref="B8:M8"/>
    <mergeCell ref="B10:M10"/>
    <mergeCell ref="B14:M14"/>
    <mergeCell ref="B15:M1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X207"/>
  <sheetViews>
    <sheetView showGridLines="0" zoomScale="90" zoomScaleNormal="90" workbookViewId="0"/>
  </sheetViews>
  <sheetFormatPr defaultColWidth="9.140625" defaultRowHeight="12.75" x14ac:dyDescent="0.2"/>
  <cols>
    <col min="1" max="1" width="4.5703125" style="75" customWidth="1"/>
    <col min="2" max="2" width="18.42578125" style="75" customWidth="1"/>
    <col min="3" max="3" width="25.7109375" style="75" customWidth="1"/>
    <col min="4" max="4" width="20.5703125" style="75" customWidth="1"/>
    <col min="5" max="5" width="18.42578125" style="75" customWidth="1"/>
    <col min="6" max="6" width="15.5703125" style="75" customWidth="1"/>
    <col min="7" max="7" width="12.85546875" style="75" customWidth="1"/>
    <col min="8" max="14" width="13" style="75" customWidth="1"/>
    <col min="15" max="16384" width="9.140625" style="75"/>
  </cols>
  <sheetData>
    <row r="1" spans="1:11" ht="26.25" customHeight="1" x14ac:dyDescent="0.2">
      <c r="B1" s="361" t="s">
        <v>142</v>
      </c>
      <c r="C1" s="361"/>
      <c r="D1" s="162" t="s">
        <v>4</v>
      </c>
    </row>
    <row r="2" spans="1:11" ht="27" customHeight="1" x14ac:dyDescent="0.2">
      <c r="B2" s="106" t="s">
        <v>106</v>
      </c>
      <c r="C2" s="107"/>
      <c r="D2" s="107"/>
      <c r="E2" s="128"/>
    </row>
    <row r="4" spans="1:11" ht="30.75" customHeight="1" x14ac:dyDescent="0.25">
      <c r="C4" s="95" t="s">
        <v>42</v>
      </c>
      <c r="D4" s="104" t="s">
        <v>43</v>
      </c>
      <c r="E4" s="103" t="s">
        <v>97</v>
      </c>
      <c r="F4" s="371" t="s">
        <v>105</v>
      </c>
      <c r="G4" s="371"/>
      <c r="H4" s="371"/>
      <c r="I4" s="372"/>
      <c r="K4" s="72" t="s">
        <v>104</v>
      </c>
    </row>
    <row r="5" spans="1:11" ht="24.75" customHeight="1" x14ac:dyDescent="0.2">
      <c r="B5" s="377" t="s">
        <v>164</v>
      </c>
      <c r="C5" s="130" t="s">
        <v>107</v>
      </c>
      <c r="D5" s="131"/>
      <c r="E5" s="132"/>
      <c r="F5" s="373"/>
      <c r="G5" s="373"/>
      <c r="H5" s="373"/>
      <c r="I5" s="374"/>
    </row>
    <row r="6" spans="1:11" ht="15" customHeight="1" x14ac:dyDescent="0.2">
      <c r="A6" s="108"/>
      <c r="B6" s="378"/>
      <c r="C6" s="133" t="s">
        <v>52</v>
      </c>
      <c r="D6" s="245" t="s">
        <v>14</v>
      </c>
      <c r="E6" s="135" t="str">
        <f>IF(OR(F6=$B$195,F6=$B$196),"Y","N")</f>
        <v>Y</v>
      </c>
      <c r="F6" s="375" t="str">
        <f>IF(D6="",$B$194,IF(D6="User Projections",IF('Household Projections'!J26&lt;6,$B$197&amp;B198,$B$196),$B$195))</f>
        <v>Default data used</v>
      </c>
      <c r="G6" s="375"/>
      <c r="H6" s="375"/>
      <c r="I6" s="365"/>
    </row>
    <row r="7" spans="1:11" ht="15" customHeight="1" x14ac:dyDescent="0.2">
      <c r="A7" s="108"/>
      <c r="B7" s="378"/>
      <c r="C7" s="133" t="s">
        <v>23</v>
      </c>
      <c r="D7" s="245" t="s">
        <v>74</v>
      </c>
      <c r="E7" s="135" t="str">
        <f>IF(OR(F7=$B$195,F7=$B$196),"Y","N")</f>
        <v>Y</v>
      </c>
      <c r="F7" s="365" t="str">
        <f>IF(D7="",$B$194,IF(D7="Other",IF(ISBLANK('Existing Unmet Need'!C21),$B$197&amp;B199,$B$196),$B$195))</f>
        <v>Default data used</v>
      </c>
      <c r="G7" s="365"/>
      <c r="H7" s="365"/>
      <c r="I7" s="365"/>
    </row>
    <row r="8" spans="1:11" ht="15" customHeight="1" x14ac:dyDescent="0.2">
      <c r="A8" s="108"/>
      <c r="B8" s="378"/>
      <c r="C8" s="133" t="s">
        <v>157</v>
      </c>
      <c r="D8" s="245" t="s">
        <v>74</v>
      </c>
      <c r="E8" s="135" t="str">
        <f>IF(OR(F8=$B$195,F8=$B$196),"Y","N")</f>
        <v>Y</v>
      </c>
      <c r="F8" s="365" t="str">
        <f>IF(D8="",$B$194,IF(D8="Other",IF('Income (Wales)'!N85=1,$B$197&amp;B200,$B$196),$B$195))</f>
        <v>Default data used</v>
      </c>
      <c r="G8" s="365"/>
      <c r="H8" s="365"/>
      <c r="I8" s="365"/>
    </row>
    <row r="9" spans="1:11" ht="15" customHeight="1" x14ac:dyDescent="0.2">
      <c r="A9" s="108"/>
      <c r="B9" s="378"/>
      <c r="C9" s="133" t="s">
        <v>158</v>
      </c>
      <c r="D9" s="245" t="s">
        <v>82</v>
      </c>
      <c r="E9" s="135" t="str">
        <f>IF(OR(F9=$B$195,F9=$B$196),"Y","N")</f>
        <v>Y</v>
      </c>
      <c r="F9" s="375" t="str">
        <f>IF(D9="",$B$194,IF(D9="Other",IF(OR(ISBLANK('Rental Prices'!C10),ISBLANK('Rental Prices'!D10)),$B$197&amp;B202,$B$196),$B$195))</f>
        <v>Default data used</v>
      </c>
      <c r="G9" s="375"/>
      <c r="H9" s="375"/>
      <c r="I9" s="365"/>
    </row>
    <row r="10" spans="1:11" ht="24.75" customHeight="1" x14ac:dyDescent="0.2">
      <c r="A10" s="108"/>
      <c r="B10" s="378"/>
      <c r="C10" s="130" t="s">
        <v>299</v>
      </c>
      <c r="D10" s="131"/>
      <c r="E10" s="136"/>
      <c r="F10" s="131"/>
      <c r="G10" s="137"/>
      <c r="H10" s="131"/>
      <c r="I10" s="138"/>
    </row>
    <row r="11" spans="1:11" ht="13.5" customHeight="1" x14ac:dyDescent="0.2">
      <c r="A11" s="108"/>
      <c r="B11" s="378"/>
      <c r="C11" s="139" t="s">
        <v>159</v>
      </c>
      <c r="D11" s="246" t="s">
        <v>41</v>
      </c>
      <c r="E11" s="135" t="str">
        <f>IF(OR(F11=$B$195,F11=$B$196),"Y","N")</f>
        <v>Y</v>
      </c>
      <c r="F11" s="365" t="str">
        <f>IF(D11="",$B$194,IF(D11="Other",IF(ISBLANK('Yearly Assumptions'!D9),$B$197&amp;B203,$B$196),$B$195))</f>
        <v>Default data used</v>
      </c>
      <c r="G11" s="365"/>
      <c r="H11" s="365"/>
      <c r="I11" s="365"/>
    </row>
    <row r="12" spans="1:11" ht="15" customHeight="1" x14ac:dyDescent="0.2">
      <c r="A12" s="108"/>
      <c r="B12" s="378"/>
      <c r="C12" s="139" t="s">
        <v>160</v>
      </c>
      <c r="D12" s="246" t="s">
        <v>41</v>
      </c>
      <c r="E12" s="135" t="str">
        <f>IF(OR(F12=$B$195,F12=$B$196),"Y","N")</f>
        <v>Y</v>
      </c>
      <c r="F12" s="375" t="str">
        <f>IF(D12="",$B$194,IF(D12="Other",IF(ISBLANK('Existing Unmet Need'!C24),$B$197&amp;B199,$B$196),$B$195))</f>
        <v>Default data used</v>
      </c>
      <c r="G12" s="375"/>
      <c r="H12" s="375"/>
      <c r="I12" s="365"/>
    </row>
    <row r="13" spans="1:11" ht="24.75" customHeight="1" x14ac:dyDescent="0.2">
      <c r="A13" s="108"/>
      <c r="B13" s="378"/>
      <c r="C13" s="130" t="s">
        <v>108</v>
      </c>
      <c r="D13" s="131"/>
      <c r="E13" s="136"/>
      <c r="F13" s="131"/>
      <c r="G13" s="137"/>
      <c r="H13" s="131"/>
      <c r="I13" s="138"/>
    </row>
    <row r="14" spans="1:11" ht="29.25" customHeight="1" x14ac:dyDescent="0.2">
      <c r="A14" s="108"/>
      <c r="B14" s="378"/>
      <c r="C14" s="141" t="s">
        <v>57</v>
      </c>
      <c r="D14" s="246" t="s">
        <v>41</v>
      </c>
      <c r="E14" s="135" t="str">
        <f>IF(OR(F14=$B$195,F14=$B$196),"Y","N")</f>
        <v>Y</v>
      </c>
      <c r="F14" s="375" t="str">
        <f>IF(D14="",$B$194,IF(D14="Other",IF('Future Forecasts'!I11&lt;5,$B$197&amp;B204,$B$196),$B$195))</f>
        <v>Default data used</v>
      </c>
      <c r="G14" s="375"/>
      <c r="H14" s="375"/>
      <c r="I14" s="365"/>
    </row>
    <row r="15" spans="1:11" ht="29.25" customHeight="1" x14ac:dyDescent="0.2">
      <c r="A15" s="108"/>
      <c r="B15" s="378"/>
      <c r="C15" s="141" t="s">
        <v>58</v>
      </c>
      <c r="D15" s="246" t="s">
        <v>63</v>
      </c>
      <c r="E15" s="135" t="str">
        <f>IF(OR(F15=$B$195,F15=$B$196),"Y","N")</f>
        <v>Y</v>
      </c>
      <c r="F15" s="365" t="str">
        <f>IF(D15="",$B$194,IF(D15="Other",IF('Future Forecasts'!I16&lt;5,$B$197&amp;B204,$B$196),$B$195))</f>
        <v>Default data used</v>
      </c>
      <c r="G15" s="365"/>
      <c r="H15" s="365"/>
      <c r="I15" s="365"/>
    </row>
    <row r="16" spans="1:11" ht="17.25" customHeight="1" x14ac:dyDescent="0.2">
      <c r="A16" s="108"/>
      <c r="B16" s="379"/>
      <c r="C16" s="142" t="s">
        <v>60</v>
      </c>
      <c r="D16" s="247" t="s">
        <v>41</v>
      </c>
      <c r="E16" s="143" t="str">
        <f>IF(OR(F16=$B$195,F16=$B$196),"Y","N")</f>
        <v>Y</v>
      </c>
      <c r="F16" s="366" t="str">
        <f>IF(D16="",$B$194,IF(D16="Other",IF('Future Forecasts'!I22&lt;5,$B$197&amp;B204,$B$196),$B$195))</f>
        <v>Default data used</v>
      </c>
      <c r="G16" s="366"/>
      <c r="H16" s="366"/>
      <c r="I16" s="366"/>
    </row>
    <row r="17" spans="1:11" ht="24.75" customHeight="1" x14ac:dyDescent="0.2">
      <c r="A17" s="108"/>
      <c r="B17" s="380" t="s">
        <v>311</v>
      </c>
      <c r="C17" s="109" t="s">
        <v>109</v>
      </c>
      <c r="D17" s="110"/>
      <c r="E17" s="125"/>
      <c r="F17" s="383"/>
      <c r="G17" s="383"/>
      <c r="H17" s="383"/>
      <c r="I17" s="384"/>
    </row>
    <row r="18" spans="1:11" ht="31.5" customHeight="1" x14ac:dyDescent="0.2">
      <c r="A18" s="108"/>
      <c r="B18" s="381"/>
      <c r="C18" s="97" t="s">
        <v>54</v>
      </c>
      <c r="D18" s="246" t="s">
        <v>288</v>
      </c>
      <c r="E18" s="124" t="str">
        <f>IF(OR(F18=$B$195,F18=$B$196),"Y","N")</f>
        <v>Y</v>
      </c>
      <c r="F18" s="368" t="str">
        <f>IF(D18="",$B$194,IF(D18="Other",IF('House Prices (Wales)'!N85=1,$B$197&amp;B201,$B$196),$B$195))</f>
        <v>Default data used</v>
      </c>
      <c r="G18" s="368"/>
      <c r="H18" s="368"/>
      <c r="I18" s="368"/>
    </row>
    <row r="19" spans="1:11" ht="24.75" customHeight="1" x14ac:dyDescent="0.2">
      <c r="A19" s="108"/>
      <c r="B19" s="381"/>
      <c r="C19" s="96" t="s">
        <v>110</v>
      </c>
      <c r="D19" s="100"/>
      <c r="E19" s="126"/>
      <c r="F19" s="100"/>
      <c r="G19" s="101"/>
      <c r="H19" s="100"/>
      <c r="I19" s="102"/>
    </row>
    <row r="20" spans="1:11" ht="13.5" customHeight="1" x14ac:dyDescent="0.2">
      <c r="A20" s="108"/>
      <c r="B20" s="381"/>
      <c r="C20" s="98" t="s">
        <v>161</v>
      </c>
      <c r="D20" s="246" t="s">
        <v>41</v>
      </c>
      <c r="E20" s="124" t="str">
        <f>IF(OR(F20=$B$195,F20=$B$196),"Y","N")</f>
        <v>Y</v>
      </c>
      <c r="F20" s="385" t="str">
        <f>IF(D20="",$B$194,IF(D20="Other",IF(ISBLANK('Yearly Assumptions'!D12),$B$197&amp;B203,$B$196),$B$195))</f>
        <v>Default data used</v>
      </c>
      <c r="G20" s="385"/>
      <c r="H20" s="385"/>
      <c r="I20" s="386"/>
    </row>
    <row r="21" spans="1:11" ht="15" customHeight="1" x14ac:dyDescent="0.2">
      <c r="A21" s="108"/>
      <c r="B21" s="381"/>
      <c r="C21" s="98" t="s">
        <v>45</v>
      </c>
      <c r="D21" s="246">
        <v>25</v>
      </c>
      <c r="E21" s="124" t="str">
        <f>IF(OR(F21=$B$195,F21=$B$196),"Y","N")</f>
        <v>Y</v>
      </c>
      <c r="F21" s="367" t="str">
        <f>IF(D21="",$B$194,IF(D21="Other",IF(ISBLANK('Yearly Assumptions'!D16),$B$197&amp;B203,$B$196),$B$195))</f>
        <v>Default data used</v>
      </c>
      <c r="G21" s="367"/>
      <c r="H21" s="367"/>
      <c r="I21" s="368"/>
    </row>
    <row r="22" spans="1:11" ht="28.5" customHeight="1" x14ac:dyDescent="0.2">
      <c r="A22" s="108"/>
      <c r="B22" s="381"/>
      <c r="C22" s="123" t="s">
        <v>162</v>
      </c>
      <c r="D22" s="309" t="s">
        <v>103</v>
      </c>
      <c r="E22" s="124" t="str">
        <f>IF(OR(F22=$B$195,F22=$B$196),"Y","N")</f>
        <v>N</v>
      </c>
      <c r="F22" s="367" t="str">
        <f>IF(ISBLANK('Yearly Assumptions'!D18),'Tenure Split (WALES)'!B197&amp;'Tenure Split (WALES)'!B203,'Tenure Split (WALES)'!B196)</f>
        <v>Please enter user data on sheet: 'Set Yearly Assumptions'</v>
      </c>
      <c r="G22" s="367"/>
      <c r="H22" s="367"/>
      <c r="I22" s="368"/>
    </row>
    <row r="23" spans="1:11" ht="15" customHeight="1" x14ac:dyDescent="0.2">
      <c r="A23" s="108"/>
      <c r="B23" s="381"/>
      <c r="C23" s="98" t="s">
        <v>163</v>
      </c>
      <c r="D23" s="246" t="s">
        <v>41</v>
      </c>
      <c r="E23" s="124" t="str">
        <f>IF(OR(F23=$B$195,F23=$B$196),"Y","N")</f>
        <v>Y</v>
      </c>
      <c r="F23" s="369" t="str">
        <f>IF(D23="",$B$194,IF(D23="Other",IF(ISBLANK('Yearly Assumptions'!D21),$B$197&amp;B203,$B$196),$B$195))</f>
        <v>Default data used</v>
      </c>
      <c r="G23" s="369"/>
      <c r="H23" s="369"/>
      <c r="I23" s="370"/>
    </row>
    <row r="24" spans="1:11" ht="24.75" customHeight="1" x14ac:dyDescent="0.2">
      <c r="A24" s="108"/>
      <c r="B24" s="381"/>
      <c r="C24" s="96" t="s">
        <v>111</v>
      </c>
      <c r="D24" s="100"/>
      <c r="E24" s="126"/>
      <c r="F24" s="100"/>
      <c r="G24" s="101"/>
      <c r="H24" s="100"/>
      <c r="I24" s="102"/>
    </row>
    <row r="25" spans="1:11" ht="15" customHeight="1" x14ac:dyDescent="0.2">
      <c r="A25" s="108"/>
      <c r="B25" s="382"/>
      <c r="C25" s="99" t="s">
        <v>59</v>
      </c>
      <c r="D25" s="247" t="s">
        <v>41</v>
      </c>
      <c r="E25" s="127" t="str">
        <f>IF(OR(F25=$B$195,F25=$B$196),"Y","N")</f>
        <v>Y</v>
      </c>
      <c r="F25" s="362" t="str">
        <f>IF(D25="",$B$194,IF(D25="Other",IF('Future Forecasts'!I27&lt;5,$B$197&amp;B204,$B$196),$B$195))</f>
        <v>Default data used</v>
      </c>
      <c r="G25" s="362"/>
      <c r="H25" s="362"/>
      <c r="I25" s="363"/>
    </row>
    <row r="26" spans="1:11" ht="15" customHeight="1" x14ac:dyDescent="0.2">
      <c r="C26" s="78"/>
      <c r="D26" s="79"/>
      <c r="E26" s="76"/>
      <c r="F26" s="80"/>
      <c r="G26" s="80"/>
      <c r="H26" s="80"/>
      <c r="I26" s="80"/>
    </row>
    <row r="27" spans="1:11" ht="15" customHeight="1" x14ac:dyDescent="0.2">
      <c r="B27" s="81" t="str">
        <f>IF(C133=1,"","Commentary on chosen assumptions for 2 tenure split: "&amp;D1)</f>
        <v>Commentary on chosen assumptions for 2 tenure split: Wales</v>
      </c>
      <c r="D27" s="79"/>
      <c r="E27" s="76"/>
      <c r="F27" s="80"/>
      <c r="G27" s="80"/>
      <c r="H27" s="80"/>
      <c r="I27" s="80"/>
    </row>
    <row r="28" spans="1:11" ht="15" customHeight="1" x14ac:dyDescent="0.2">
      <c r="B28" s="364" t="str">
        <f>B188</f>
        <v>The below figures split the estimates of housing need into two tenures and are based on the following assumptions. The underlying estimates of additional housing units are based on Welsh Government's Principal 2014-based household projections, and an estimate of 5645 households in existing unmet need which will take 5 years to clear. Income data is based on Welsh Government estimates and private rental data is based on Welsh Government data. The yearly change to median household income is based on the default estimates, the yearly change to the distribution of household income is based on the default estimates and the yearly change to rental prices is based on the default estimates.</v>
      </c>
      <c r="C28" s="364"/>
      <c r="D28" s="364"/>
      <c r="E28" s="364"/>
      <c r="F28" s="364"/>
      <c r="G28" s="364"/>
      <c r="H28" s="364"/>
      <c r="I28" s="364"/>
      <c r="J28" s="364"/>
      <c r="K28" s="111"/>
    </row>
    <row r="29" spans="1:11" ht="15" customHeight="1" x14ac:dyDescent="0.2">
      <c r="B29" s="364"/>
      <c r="C29" s="364"/>
      <c r="D29" s="364"/>
      <c r="E29" s="364"/>
      <c r="F29" s="364"/>
      <c r="G29" s="364"/>
      <c r="H29" s="364"/>
      <c r="I29" s="364"/>
      <c r="J29" s="364"/>
      <c r="K29" s="111"/>
    </row>
    <row r="30" spans="1:11" ht="15" customHeight="1" x14ac:dyDescent="0.2">
      <c r="B30" s="364"/>
      <c r="C30" s="364"/>
      <c r="D30" s="364"/>
      <c r="E30" s="364"/>
      <c r="F30" s="364"/>
      <c r="G30" s="364"/>
      <c r="H30" s="364"/>
      <c r="I30" s="364"/>
      <c r="J30" s="364"/>
      <c r="K30" s="111"/>
    </row>
    <row r="31" spans="1:11" ht="15" customHeight="1" x14ac:dyDescent="0.2">
      <c r="B31" s="364"/>
      <c r="C31" s="364"/>
      <c r="D31" s="364"/>
      <c r="E31" s="364"/>
      <c r="F31" s="364"/>
      <c r="G31" s="364"/>
      <c r="H31" s="364"/>
      <c r="I31" s="364"/>
      <c r="J31" s="364"/>
      <c r="K31" s="111"/>
    </row>
    <row r="32" spans="1:11" ht="15" customHeight="1" x14ac:dyDescent="0.2">
      <c r="B32" s="364"/>
      <c r="C32" s="364"/>
      <c r="D32" s="364"/>
      <c r="E32" s="364"/>
      <c r="F32" s="364"/>
      <c r="G32" s="364"/>
      <c r="H32" s="364"/>
      <c r="I32" s="364"/>
      <c r="J32" s="364"/>
      <c r="K32" s="111"/>
    </row>
    <row r="33" spans="2:11" ht="15" customHeight="1" x14ac:dyDescent="0.2">
      <c r="B33" s="112"/>
      <c r="C33" s="73"/>
      <c r="D33" s="73"/>
      <c r="E33" s="73"/>
      <c r="F33" s="73"/>
      <c r="G33" s="73"/>
      <c r="H33" s="73"/>
      <c r="I33" s="73"/>
      <c r="J33" s="73"/>
      <c r="K33" s="111"/>
    </row>
    <row r="34" spans="2:11" ht="15" customHeight="1" x14ac:dyDescent="0.2">
      <c r="B34" s="112"/>
      <c r="C34" s="73"/>
      <c r="D34" s="73"/>
      <c r="E34" s="73"/>
      <c r="F34" s="73"/>
      <c r="G34" s="73"/>
      <c r="H34" s="73"/>
      <c r="I34" s="73"/>
      <c r="J34" s="73"/>
      <c r="K34" s="111"/>
    </row>
    <row r="35" spans="2:11" ht="15" customHeight="1" x14ac:dyDescent="0.2">
      <c r="B35" s="112"/>
      <c r="C35" s="73"/>
      <c r="D35" s="73"/>
      <c r="E35" s="73"/>
      <c r="F35" s="73"/>
      <c r="G35" s="73"/>
      <c r="H35" s="73"/>
      <c r="I35" s="73"/>
      <c r="J35" s="73"/>
      <c r="K35" s="111"/>
    </row>
    <row r="36" spans="2:11" ht="15" customHeight="1" x14ac:dyDescent="0.2">
      <c r="B36" s="112"/>
      <c r="C36" s="73"/>
      <c r="D36" s="73"/>
      <c r="E36" s="73"/>
      <c r="F36" s="73"/>
      <c r="G36" s="73"/>
      <c r="H36" s="73"/>
      <c r="I36" s="73"/>
      <c r="J36" s="73"/>
      <c r="K36" s="111"/>
    </row>
    <row r="37" spans="2:11" ht="15" customHeight="1" x14ac:dyDescent="0.2">
      <c r="B37" s="112"/>
      <c r="C37" s="73"/>
      <c r="D37" s="73"/>
      <c r="E37" s="73"/>
      <c r="F37" s="73"/>
      <c r="G37" s="73"/>
      <c r="H37" s="73"/>
      <c r="I37" s="73"/>
      <c r="J37" s="73"/>
      <c r="K37" s="111"/>
    </row>
    <row r="38" spans="2:11" ht="15" customHeight="1" x14ac:dyDescent="0.2">
      <c r="B38" s="73"/>
      <c r="C38" s="73"/>
      <c r="D38" s="73"/>
      <c r="E38" s="73"/>
      <c r="F38" s="73"/>
      <c r="G38" s="73"/>
      <c r="H38" s="73"/>
      <c r="I38" s="73"/>
      <c r="J38" s="73"/>
      <c r="K38" s="111"/>
    </row>
    <row r="39" spans="2:11" ht="15" customHeight="1" x14ac:dyDescent="0.2">
      <c r="B39" s="73"/>
      <c r="C39" s="73"/>
      <c r="D39" s="73"/>
      <c r="E39" s="73"/>
      <c r="F39" s="73"/>
      <c r="G39" s="73"/>
      <c r="H39" s="73"/>
      <c r="I39" s="73"/>
      <c r="J39" s="73"/>
      <c r="K39" s="111"/>
    </row>
    <row r="40" spans="2:11" ht="15" customHeight="1" x14ac:dyDescent="0.2">
      <c r="B40" s="73"/>
      <c r="C40" s="73"/>
      <c r="D40" s="73"/>
      <c r="E40" s="73"/>
      <c r="F40" s="73"/>
      <c r="G40" s="73"/>
      <c r="H40" s="73"/>
      <c r="I40" s="73"/>
      <c r="J40" s="73"/>
      <c r="K40" s="111"/>
    </row>
    <row r="41" spans="2:11" ht="15" customHeight="1" x14ac:dyDescent="0.2">
      <c r="B41" s="73"/>
      <c r="C41" s="73"/>
      <c r="D41" s="73"/>
      <c r="E41" s="73"/>
      <c r="F41" s="73"/>
      <c r="G41" s="73"/>
      <c r="H41" s="73"/>
      <c r="I41" s="73"/>
      <c r="J41" s="73"/>
      <c r="K41" s="111"/>
    </row>
    <row r="42" spans="2:11" ht="15" customHeight="1" x14ac:dyDescent="0.2">
      <c r="B42" s="73"/>
      <c r="C42" s="73"/>
      <c r="D42" s="73"/>
      <c r="E42" s="73"/>
      <c r="F42" s="73"/>
      <c r="G42" s="73"/>
      <c r="H42" s="73"/>
      <c r="I42" s="73"/>
      <c r="J42" s="73"/>
      <c r="K42" s="111"/>
    </row>
    <row r="43" spans="2:11" ht="15" customHeight="1" x14ac:dyDescent="0.2">
      <c r="B43" s="73"/>
      <c r="C43" s="73"/>
      <c r="D43" s="73"/>
      <c r="E43" s="73"/>
      <c r="F43" s="73"/>
      <c r="G43" s="73"/>
      <c r="H43" s="73"/>
      <c r="I43" s="73"/>
      <c r="J43" s="73"/>
      <c r="K43" s="111"/>
    </row>
    <row r="44" spans="2:11" ht="15" customHeight="1" x14ac:dyDescent="0.2">
      <c r="B44" s="73"/>
      <c r="C44" s="73"/>
      <c r="D44" s="73"/>
      <c r="E44" s="73"/>
      <c r="F44" s="73"/>
      <c r="G44" s="73"/>
      <c r="H44" s="73"/>
      <c r="I44" s="73"/>
      <c r="J44" s="73"/>
      <c r="K44" s="111"/>
    </row>
    <row r="45" spans="2:11" ht="15" customHeight="1" x14ac:dyDescent="0.2">
      <c r="B45" s="73"/>
      <c r="C45" s="73"/>
      <c r="D45" s="73"/>
      <c r="E45" s="73"/>
      <c r="F45" s="73"/>
      <c r="G45" s="73"/>
      <c r="H45" s="73"/>
      <c r="I45" s="73"/>
      <c r="J45" s="73"/>
      <c r="K45" s="111"/>
    </row>
    <row r="46" spans="2:11" ht="15" customHeight="1" x14ac:dyDescent="0.2">
      <c r="B46" s="73"/>
      <c r="C46" s="73"/>
      <c r="D46" s="73"/>
      <c r="E46" s="73"/>
      <c r="F46" s="73"/>
      <c r="G46" s="73"/>
      <c r="H46" s="73"/>
      <c r="I46" s="73"/>
      <c r="J46" s="73"/>
      <c r="K46" s="111"/>
    </row>
    <row r="47" spans="2:11" ht="15" customHeight="1" x14ac:dyDescent="0.2">
      <c r="B47" s="73"/>
      <c r="C47" s="73"/>
      <c r="D47" s="73"/>
      <c r="E47" s="73"/>
      <c r="F47" s="73"/>
      <c r="G47" s="73"/>
      <c r="H47" s="73"/>
      <c r="I47" s="73"/>
      <c r="J47" s="73"/>
      <c r="K47" s="111"/>
    </row>
    <row r="48" spans="2:11" ht="15" customHeight="1" x14ac:dyDescent="0.2">
      <c r="B48" s="73"/>
      <c r="C48" s="73"/>
      <c r="D48" s="73"/>
      <c r="E48" s="73"/>
      <c r="F48" s="73"/>
      <c r="G48" s="73"/>
      <c r="H48" s="73"/>
      <c r="I48" s="73"/>
      <c r="J48" s="73"/>
      <c r="K48" s="111"/>
    </row>
    <row r="49" spans="2:11" ht="15" customHeight="1" x14ac:dyDescent="0.2">
      <c r="B49" s="73"/>
      <c r="C49" s="73"/>
      <c r="D49" s="73"/>
      <c r="E49" s="73"/>
      <c r="F49" s="73"/>
      <c r="G49" s="73"/>
      <c r="H49" s="73"/>
      <c r="I49" s="73"/>
      <c r="J49" s="73"/>
      <c r="K49" s="111"/>
    </row>
    <row r="50" spans="2:11" ht="15" customHeight="1" x14ac:dyDescent="0.2">
      <c r="B50" s="73"/>
      <c r="C50" s="73"/>
      <c r="D50" s="73"/>
      <c r="E50" s="73"/>
      <c r="F50" s="73"/>
      <c r="G50" s="73"/>
      <c r="H50" s="73"/>
      <c r="I50" s="73"/>
      <c r="J50" s="73"/>
      <c r="K50" s="111"/>
    </row>
    <row r="51" spans="2:11" ht="15" customHeight="1" x14ac:dyDescent="0.2">
      <c r="B51" s="73"/>
      <c r="C51" s="73"/>
      <c r="D51" s="73"/>
      <c r="E51" s="73"/>
      <c r="F51" s="73"/>
      <c r="G51" s="73"/>
      <c r="H51" s="73"/>
      <c r="I51" s="73"/>
      <c r="J51" s="73"/>
      <c r="K51" s="111"/>
    </row>
    <row r="52" spans="2:11" ht="15" customHeight="1" x14ac:dyDescent="0.2">
      <c r="B52" s="354" t="s">
        <v>284</v>
      </c>
      <c r="C52" s="355"/>
      <c r="D52" s="355"/>
      <c r="E52" s="355"/>
      <c r="F52" s="355"/>
      <c r="G52" s="355"/>
      <c r="H52" s="355"/>
      <c r="I52" s="355"/>
      <c r="J52" s="356"/>
      <c r="K52" s="111"/>
    </row>
    <row r="53" spans="2:11" ht="15" customHeight="1" x14ac:dyDescent="0.2">
      <c r="B53" s="357"/>
      <c r="C53" s="358"/>
      <c r="D53" s="358"/>
      <c r="E53" s="358"/>
      <c r="F53" s="358"/>
      <c r="G53" s="358"/>
      <c r="H53" s="358"/>
      <c r="I53" s="358"/>
      <c r="J53" s="359"/>
      <c r="K53" s="111"/>
    </row>
    <row r="54" spans="2:11" ht="15" customHeight="1" x14ac:dyDescent="0.2">
      <c r="B54" s="266"/>
      <c r="C54" s="266"/>
      <c r="D54" s="266"/>
      <c r="E54" s="266"/>
      <c r="F54" s="266"/>
      <c r="G54" s="266"/>
      <c r="H54" s="266"/>
      <c r="I54" s="266"/>
      <c r="J54" s="266"/>
      <c r="K54" s="111"/>
    </row>
    <row r="55" spans="2:11" ht="15" customHeight="1" x14ac:dyDescent="0.2">
      <c r="B55" s="85" t="s">
        <v>123</v>
      </c>
      <c r="C55" s="86"/>
      <c r="D55" s="86"/>
      <c r="E55" s="86"/>
      <c r="F55" s="86"/>
      <c r="G55" s="86"/>
      <c r="K55" s="111"/>
    </row>
    <row r="56" spans="2:11" ht="15" customHeight="1" x14ac:dyDescent="0.2">
      <c r="B56" s="153" t="str">
        <f>B148</f>
        <v/>
      </c>
      <c r="C56" s="154" t="str">
        <f t="shared" ref="C56:G56" si="0">C148</f>
        <v>2018/19</v>
      </c>
      <c r="D56" s="154" t="str">
        <f t="shared" si="0"/>
        <v>2019/20</v>
      </c>
      <c r="E56" s="154" t="str">
        <f t="shared" si="0"/>
        <v>2020/21</v>
      </c>
      <c r="F56" s="154" t="str">
        <f t="shared" si="0"/>
        <v>2021/22</v>
      </c>
      <c r="G56" s="154" t="str">
        <f t="shared" si="0"/>
        <v>2022/23</v>
      </c>
      <c r="K56" s="111"/>
    </row>
    <row r="57" spans="2:11" ht="15" customHeight="1" x14ac:dyDescent="0.2">
      <c r="B57" s="153" t="str">
        <f t="shared" ref="B57:G57" si="1">B149</f>
        <v>Market Housing</v>
      </c>
      <c r="C57" s="155">
        <f t="shared" si="1"/>
        <v>4475.78</v>
      </c>
      <c r="D57" s="155">
        <f t="shared" si="1"/>
        <v>4248.6499999999996</v>
      </c>
      <c r="E57" s="155">
        <f t="shared" si="1"/>
        <v>4287.6899999999996</v>
      </c>
      <c r="F57" s="155">
        <f t="shared" si="1"/>
        <v>4572.5599999999995</v>
      </c>
      <c r="G57" s="155">
        <f t="shared" si="1"/>
        <v>4413.16</v>
      </c>
      <c r="I57" s="148"/>
      <c r="K57" s="111"/>
    </row>
    <row r="58" spans="2:11" ht="15" customHeight="1" x14ac:dyDescent="0.2">
      <c r="B58" s="153" t="str">
        <f t="shared" ref="B58:G58" si="2">B150</f>
        <v>Affordable Housing</v>
      </c>
      <c r="C58" s="155">
        <f t="shared" si="2"/>
        <v>3872.2200000000003</v>
      </c>
      <c r="D58" s="155">
        <f t="shared" si="2"/>
        <v>3845.3500000000004</v>
      </c>
      <c r="E58" s="155">
        <f t="shared" si="2"/>
        <v>3870.3100000000004</v>
      </c>
      <c r="F58" s="155">
        <f t="shared" si="2"/>
        <v>4052.4400000000005</v>
      </c>
      <c r="G58" s="155">
        <f t="shared" si="2"/>
        <v>3833.84</v>
      </c>
      <c r="I58" s="148"/>
      <c r="K58" s="111"/>
    </row>
    <row r="59" spans="2:11" ht="15" customHeight="1" x14ac:dyDescent="0.2">
      <c r="K59" s="111"/>
    </row>
    <row r="60" spans="2:11" ht="15" customHeight="1" x14ac:dyDescent="0.2">
      <c r="B60" s="74" t="s">
        <v>124</v>
      </c>
      <c r="K60" s="111"/>
    </row>
    <row r="61" spans="2:11" ht="15" customHeight="1" x14ac:dyDescent="0.2">
      <c r="B61" s="114" t="str">
        <f>B151</f>
        <v/>
      </c>
      <c r="C61" s="156" t="str">
        <f t="shared" ref="C61:G61" si="3">C151</f>
        <v>2018/19</v>
      </c>
      <c r="D61" s="156" t="str">
        <f t="shared" si="3"/>
        <v>2019/20</v>
      </c>
      <c r="E61" s="156" t="str">
        <f t="shared" si="3"/>
        <v>2020/21</v>
      </c>
      <c r="F61" s="156" t="str">
        <f t="shared" si="3"/>
        <v>2021/22</v>
      </c>
      <c r="G61" s="156" t="str">
        <f t="shared" si="3"/>
        <v>2022/23</v>
      </c>
      <c r="I61" s="158" t="str">
        <f>I151</f>
        <v>Overall 5 Year Split</v>
      </c>
      <c r="J61" s="158"/>
      <c r="K61" s="111"/>
    </row>
    <row r="62" spans="2:11" ht="15" customHeight="1" x14ac:dyDescent="0.2">
      <c r="B62" s="114" t="str">
        <f>B152</f>
        <v>Market Housing</v>
      </c>
      <c r="C62" s="157">
        <f>C152</f>
        <v>0.53614997604216574</v>
      </c>
      <c r="D62" s="157">
        <f t="shared" ref="D62:G63" si="4">D152</f>
        <v>0.52491351618482818</v>
      </c>
      <c r="E62" s="157">
        <f t="shared" si="4"/>
        <v>0.52558102476097079</v>
      </c>
      <c r="F62" s="157">
        <f t="shared" si="4"/>
        <v>0.53015188405797098</v>
      </c>
      <c r="G62" s="157">
        <f t="shared" si="4"/>
        <v>0.53512307505759671</v>
      </c>
      <c r="I62" s="376">
        <f>I152</f>
        <v>0.53042631172839505</v>
      </c>
      <c r="J62" s="376"/>
      <c r="K62" s="111"/>
    </row>
    <row r="63" spans="2:11" ht="15" customHeight="1" x14ac:dyDescent="0.2">
      <c r="B63" s="114" t="str">
        <f t="shared" ref="B63" si="5">B153</f>
        <v>Affordable Housing</v>
      </c>
      <c r="C63" s="157">
        <f>C153</f>
        <v>0.46385002395783426</v>
      </c>
      <c r="D63" s="157">
        <f t="shared" si="4"/>
        <v>0.47508648381517177</v>
      </c>
      <c r="E63" s="157">
        <f t="shared" si="4"/>
        <v>0.47441897523902921</v>
      </c>
      <c r="F63" s="157">
        <f t="shared" si="4"/>
        <v>0.46984811594202902</v>
      </c>
      <c r="G63" s="157">
        <f t="shared" si="4"/>
        <v>0.46487692494240329</v>
      </c>
      <c r="I63" s="376">
        <f>I153</f>
        <v>0.46957368827160501</v>
      </c>
      <c r="J63" s="376"/>
      <c r="K63" s="111"/>
    </row>
    <row r="64" spans="2:11" ht="15" customHeight="1" x14ac:dyDescent="0.2">
      <c r="B64" s="112"/>
      <c r="C64" s="73"/>
      <c r="D64" s="73"/>
      <c r="E64" s="73"/>
      <c r="F64" s="73"/>
      <c r="G64" s="73"/>
      <c r="H64" s="73"/>
      <c r="I64" s="73"/>
      <c r="J64" s="73"/>
      <c r="K64" s="111"/>
    </row>
    <row r="65" spans="2:11" ht="15" customHeight="1" x14ac:dyDescent="0.2">
      <c r="B65" s="81" t="str">
        <f>IF(C145=1,"","Commentary on chosen assumptions for 4 tenure split")</f>
        <v/>
      </c>
      <c r="C65" s="73"/>
      <c r="D65" s="73"/>
      <c r="E65" s="73"/>
      <c r="F65" s="73"/>
      <c r="G65" s="73"/>
      <c r="H65" s="73"/>
      <c r="I65" s="73"/>
      <c r="J65" s="73"/>
      <c r="K65" s="111"/>
    </row>
    <row r="66" spans="2:11" ht="15" customHeight="1" x14ac:dyDescent="0.2">
      <c r="B66" s="364" t="str">
        <f>B192</f>
        <v>Estimates split into 4 tenures will not appear below until the above table is complete.</v>
      </c>
      <c r="C66" s="364"/>
      <c r="D66" s="364"/>
      <c r="E66" s="364"/>
      <c r="F66" s="364"/>
      <c r="G66" s="364"/>
      <c r="H66" s="364"/>
      <c r="I66" s="364"/>
      <c r="J66" s="364"/>
      <c r="K66" s="111"/>
    </row>
    <row r="67" spans="2:11" ht="15" customHeight="1" x14ac:dyDescent="0.2">
      <c r="B67" s="364"/>
      <c r="C67" s="364"/>
      <c r="D67" s="364"/>
      <c r="E67" s="364"/>
      <c r="F67" s="364"/>
      <c r="G67" s="364"/>
      <c r="H67" s="364"/>
      <c r="I67" s="364"/>
      <c r="J67" s="364"/>
      <c r="K67" s="111"/>
    </row>
    <row r="68" spans="2:11" ht="15" customHeight="1" x14ac:dyDescent="0.2">
      <c r="B68" s="364"/>
      <c r="C68" s="364"/>
      <c r="D68" s="364"/>
      <c r="E68" s="364"/>
      <c r="F68" s="364"/>
      <c r="G68" s="364"/>
      <c r="H68" s="364"/>
      <c r="I68" s="364"/>
      <c r="J68" s="364"/>
      <c r="K68" s="111"/>
    </row>
    <row r="69" spans="2:11" ht="15" customHeight="1" x14ac:dyDescent="0.2">
      <c r="B69" s="364"/>
      <c r="C69" s="364"/>
      <c r="D69" s="364"/>
      <c r="E69" s="364"/>
      <c r="F69" s="364"/>
      <c r="G69" s="364"/>
      <c r="H69" s="364"/>
      <c r="I69" s="364"/>
      <c r="J69" s="364"/>
      <c r="K69" s="111"/>
    </row>
    <row r="70" spans="2:11" ht="15" customHeight="1" x14ac:dyDescent="0.2">
      <c r="C70" s="78"/>
      <c r="D70" s="82"/>
      <c r="F70" s="83"/>
      <c r="G70" s="84"/>
    </row>
    <row r="71" spans="2:11" ht="15" customHeight="1" x14ac:dyDescent="0.2">
      <c r="C71" s="78"/>
      <c r="D71" s="82"/>
      <c r="E71" s="84"/>
      <c r="F71" s="83"/>
      <c r="G71" s="84"/>
    </row>
    <row r="72" spans="2:11" ht="15" customHeight="1" x14ac:dyDescent="0.2">
      <c r="C72" s="78"/>
      <c r="D72" s="82"/>
      <c r="E72" s="84"/>
      <c r="F72" s="83"/>
      <c r="G72" s="84"/>
    </row>
    <row r="73" spans="2:11" ht="15" customHeight="1" x14ac:dyDescent="0.2">
      <c r="C73" s="78"/>
      <c r="D73" s="82"/>
      <c r="E73" s="84"/>
      <c r="F73" s="83"/>
      <c r="G73" s="84"/>
    </row>
    <row r="74" spans="2:11" ht="15" customHeight="1" x14ac:dyDescent="0.2">
      <c r="C74" s="78"/>
      <c r="D74" s="82"/>
      <c r="E74" s="84"/>
      <c r="F74" s="83"/>
      <c r="G74" s="84"/>
    </row>
    <row r="75" spans="2:11" ht="15" customHeight="1" x14ac:dyDescent="0.2">
      <c r="C75" s="78"/>
      <c r="D75" s="82"/>
      <c r="E75" s="84"/>
      <c r="F75" s="83"/>
      <c r="G75" s="84"/>
    </row>
    <row r="76" spans="2:11" ht="15" customHeight="1" x14ac:dyDescent="0.2">
      <c r="C76" s="78"/>
      <c r="D76" s="82"/>
      <c r="E76" s="84"/>
      <c r="F76" s="83"/>
      <c r="G76" s="84"/>
    </row>
    <row r="77" spans="2:11" ht="15" customHeight="1" x14ac:dyDescent="0.2">
      <c r="C77" s="78"/>
      <c r="D77" s="82"/>
      <c r="E77" s="84"/>
      <c r="F77" s="83"/>
      <c r="G77" s="84"/>
    </row>
    <row r="78" spans="2:11" ht="15" customHeight="1" x14ac:dyDescent="0.2">
      <c r="C78" s="78"/>
      <c r="D78" s="82"/>
      <c r="E78" s="84"/>
      <c r="F78" s="83"/>
      <c r="G78" s="84"/>
    </row>
    <row r="79" spans="2:11" ht="15" customHeight="1" x14ac:dyDescent="0.2">
      <c r="C79" s="78"/>
      <c r="D79" s="82"/>
      <c r="E79" s="84"/>
      <c r="F79" s="83"/>
      <c r="G79" s="84"/>
    </row>
    <row r="80" spans="2:11" ht="15" customHeight="1" x14ac:dyDescent="0.2">
      <c r="C80" s="78"/>
      <c r="D80" s="82"/>
      <c r="E80" s="84"/>
      <c r="F80" s="83"/>
      <c r="G80" s="84"/>
    </row>
    <row r="81" spans="2:7" ht="15" customHeight="1" x14ac:dyDescent="0.2">
      <c r="C81" s="78"/>
      <c r="D81" s="82"/>
      <c r="E81" s="84"/>
      <c r="F81" s="83"/>
      <c r="G81" s="84"/>
    </row>
    <row r="82" spans="2:7" ht="15" customHeight="1" x14ac:dyDescent="0.2">
      <c r="C82" s="78"/>
      <c r="D82" s="82"/>
      <c r="E82" s="84"/>
      <c r="F82" s="83"/>
      <c r="G82" s="84"/>
    </row>
    <row r="83" spans="2:7" ht="15" customHeight="1" x14ac:dyDescent="0.2">
      <c r="C83" s="78"/>
      <c r="D83" s="82"/>
      <c r="E83" s="84"/>
      <c r="F83" s="83"/>
      <c r="G83" s="84"/>
    </row>
    <row r="84" spans="2:7" ht="15" customHeight="1" x14ac:dyDescent="0.2">
      <c r="C84" s="78"/>
      <c r="D84" s="82"/>
      <c r="E84" s="84"/>
      <c r="F84" s="83"/>
      <c r="G84" s="84"/>
    </row>
    <row r="85" spans="2:7" ht="15" customHeight="1" x14ac:dyDescent="0.2">
      <c r="C85" s="78"/>
      <c r="D85" s="82"/>
      <c r="E85" s="84"/>
      <c r="F85" s="83"/>
      <c r="G85" s="84"/>
    </row>
    <row r="86" spans="2:7" ht="15" customHeight="1" x14ac:dyDescent="0.2">
      <c r="C86" s="78"/>
      <c r="D86" s="82"/>
      <c r="E86" s="84"/>
      <c r="F86" s="83"/>
      <c r="G86" s="84"/>
    </row>
    <row r="87" spans="2:7" ht="15" customHeight="1" x14ac:dyDescent="0.2">
      <c r="C87" s="78"/>
      <c r="D87" s="82"/>
      <c r="E87" s="84"/>
      <c r="F87" s="83"/>
      <c r="G87" s="84"/>
    </row>
    <row r="88" spans="2:7" ht="15" customHeight="1" x14ac:dyDescent="0.2">
      <c r="C88" s="78"/>
      <c r="D88" s="82"/>
      <c r="E88" s="84"/>
      <c r="F88" s="83"/>
      <c r="G88" s="84"/>
    </row>
    <row r="89" spans="2:7" ht="15" customHeight="1" x14ac:dyDescent="0.2">
      <c r="C89" s="78"/>
      <c r="D89" s="82"/>
      <c r="E89" s="84"/>
      <c r="F89" s="83"/>
      <c r="G89" s="84"/>
    </row>
    <row r="90" spans="2:7" ht="15" customHeight="1" x14ac:dyDescent="0.2">
      <c r="B90" s="85" t="s">
        <v>115</v>
      </c>
      <c r="C90" s="86"/>
      <c r="D90" s="86"/>
      <c r="E90" s="86"/>
      <c r="F90" s="86"/>
      <c r="G90" s="86"/>
    </row>
    <row r="91" spans="2:7" ht="15" customHeight="1" x14ac:dyDescent="0.2">
      <c r="B91" s="159" t="str">
        <f>B157</f>
        <v>Please complete table to view estimates split into 4 tenures.</v>
      </c>
      <c r="C91" s="114"/>
      <c r="D91" s="114"/>
      <c r="E91" s="114"/>
      <c r="F91" s="114"/>
      <c r="G91" s="114"/>
    </row>
    <row r="92" spans="2:7" ht="15" customHeight="1" x14ac:dyDescent="0.2">
      <c r="B92" s="159"/>
      <c r="C92" s="154" t="str">
        <f t="shared" ref="C92:G96" si="6">C157</f>
        <v/>
      </c>
      <c r="D92" s="154" t="str">
        <f t="shared" si="6"/>
        <v/>
      </c>
      <c r="E92" s="154" t="str">
        <f t="shared" si="6"/>
        <v/>
      </c>
      <c r="F92" s="154" t="str">
        <f t="shared" si="6"/>
        <v/>
      </c>
      <c r="G92" s="154" t="str">
        <f t="shared" si="6"/>
        <v/>
      </c>
    </row>
    <row r="93" spans="2:7" ht="15" customHeight="1" x14ac:dyDescent="0.2">
      <c r="B93" s="153" t="str">
        <f>B158</f>
        <v/>
      </c>
      <c r="C93" s="160" t="str">
        <f t="shared" si="6"/>
        <v/>
      </c>
      <c r="D93" s="155" t="str">
        <f t="shared" si="6"/>
        <v/>
      </c>
      <c r="E93" s="155" t="str">
        <f t="shared" si="6"/>
        <v/>
      </c>
      <c r="F93" s="155" t="str">
        <f t="shared" si="6"/>
        <v/>
      </c>
      <c r="G93" s="155" t="str">
        <f t="shared" si="6"/>
        <v/>
      </c>
    </row>
    <row r="94" spans="2:7" ht="15" customHeight="1" x14ac:dyDescent="0.2">
      <c r="B94" s="153" t="str">
        <f>B159</f>
        <v/>
      </c>
      <c r="C94" s="155" t="str">
        <f t="shared" si="6"/>
        <v/>
      </c>
      <c r="D94" s="155" t="str">
        <f t="shared" si="6"/>
        <v/>
      </c>
      <c r="E94" s="155" t="str">
        <f t="shared" si="6"/>
        <v/>
      </c>
      <c r="F94" s="155" t="str">
        <f t="shared" si="6"/>
        <v/>
      </c>
      <c r="G94" s="155" t="str">
        <f t="shared" si="6"/>
        <v/>
      </c>
    </row>
    <row r="95" spans="2:7" ht="15" customHeight="1" x14ac:dyDescent="0.2">
      <c r="B95" s="155" t="str">
        <f>B160</f>
        <v/>
      </c>
      <c r="C95" s="155" t="str">
        <f t="shared" si="6"/>
        <v/>
      </c>
      <c r="D95" s="155" t="str">
        <f t="shared" si="6"/>
        <v/>
      </c>
      <c r="E95" s="155" t="str">
        <f t="shared" si="6"/>
        <v/>
      </c>
      <c r="F95" s="155" t="str">
        <f t="shared" si="6"/>
        <v/>
      </c>
      <c r="G95" s="155" t="str">
        <f t="shared" si="6"/>
        <v/>
      </c>
    </row>
    <row r="96" spans="2:7" ht="15" customHeight="1" x14ac:dyDescent="0.2">
      <c r="B96" s="155" t="str">
        <f>B161</f>
        <v/>
      </c>
      <c r="C96" s="155" t="str">
        <f t="shared" si="6"/>
        <v/>
      </c>
      <c r="D96" s="155" t="str">
        <f t="shared" si="6"/>
        <v/>
      </c>
      <c r="E96" s="155" t="str">
        <f t="shared" si="6"/>
        <v/>
      </c>
      <c r="F96" s="155" t="str">
        <f t="shared" si="6"/>
        <v/>
      </c>
      <c r="G96" s="155" t="str">
        <f t="shared" si="6"/>
        <v/>
      </c>
    </row>
    <row r="97" spans="2:20" ht="15" customHeight="1" x14ac:dyDescent="0.2"/>
    <row r="98" spans="2:20" ht="15" customHeight="1" x14ac:dyDescent="0.2">
      <c r="B98" s="74" t="s">
        <v>116</v>
      </c>
    </row>
    <row r="99" spans="2:20" ht="15" customHeight="1" x14ac:dyDescent="0.2">
      <c r="B99" s="114" t="str">
        <f>B162</f>
        <v>Please complete table to view estimates split into 4 tenures.</v>
      </c>
      <c r="C99" s="114"/>
      <c r="D99" s="114"/>
      <c r="E99" s="114"/>
      <c r="F99" s="114"/>
      <c r="G99" s="114"/>
      <c r="I99" s="158" t="str">
        <f>I162</f>
        <v/>
      </c>
      <c r="J99" s="158"/>
    </row>
    <row r="100" spans="2:20" ht="15" customHeight="1" x14ac:dyDescent="0.2">
      <c r="B100" s="114"/>
      <c r="C100" s="156" t="str">
        <f t="shared" ref="C100:G104" si="7">C162</f>
        <v/>
      </c>
      <c r="D100" s="156" t="str">
        <f t="shared" si="7"/>
        <v/>
      </c>
      <c r="E100" s="156" t="str">
        <f t="shared" si="7"/>
        <v/>
      </c>
      <c r="F100" s="156" t="str">
        <f t="shared" si="7"/>
        <v/>
      </c>
      <c r="G100" s="156" t="str">
        <f t="shared" si="7"/>
        <v/>
      </c>
      <c r="I100" s="158"/>
      <c r="J100" s="158"/>
    </row>
    <row r="101" spans="2:20" ht="15" customHeight="1" x14ac:dyDescent="0.2">
      <c r="B101" s="114" t="str">
        <f>B163</f>
        <v/>
      </c>
      <c r="C101" s="157" t="str">
        <f t="shared" si="7"/>
        <v/>
      </c>
      <c r="D101" s="157" t="str">
        <f t="shared" si="7"/>
        <v/>
      </c>
      <c r="E101" s="157" t="str">
        <f t="shared" si="7"/>
        <v/>
      </c>
      <c r="F101" s="157" t="str">
        <f t="shared" si="7"/>
        <v/>
      </c>
      <c r="G101" s="157" t="str">
        <f t="shared" si="7"/>
        <v/>
      </c>
      <c r="I101" s="376" t="str">
        <f>I163</f>
        <v/>
      </c>
      <c r="J101" s="376"/>
    </row>
    <row r="102" spans="2:20" ht="15" customHeight="1" x14ac:dyDescent="0.2">
      <c r="B102" s="114" t="str">
        <f>B164</f>
        <v/>
      </c>
      <c r="C102" s="157" t="str">
        <f t="shared" si="7"/>
        <v/>
      </c>
      <c r="D102" s="157" t="str">
        <f t="shared" si="7"/>
        <v/>
      </c>
      <c r="E102" s="157" t="str">
        <f t="shared" si="7"/>
        <v/>
      </c>
      <c r="F102" s="157" t="str">
        <f t="shared" si="7"/>
        <v/>
      </c>
      <c r="G102" s="157" t="str">
        <f t="shared" si="7"/>
        <v/>
      </c>
      <c r="I102" s="376" t="str">
        <f>I164</f>
        <v/>
      </c>
      <c r="J102" s="376"/>
    </row>
    <row r="103" spans="2:20" ht="14.25" customHeight="1" x14ac:dyDescent="0.2">
      <c r="B103" s="114" t="str">
        <f>B165</f>
        <v/>
      </c>
      <c r="C103" s="157" t="str">
        <f t="shared" si="7"/>
        <v/>
      </c>
      <c r="D103" s="157" t="str">
        <f t="shared" si="7"/>
        <v/>
      </c>
      <c r="E103" s="157" t="str">
        <f t="shared" si="7"/>
        <v/>
      </c>
      <c r="F103" s="157" t="str">
        <f t="shared" si="7"/>
        <v/>
      </c>
      <c r="G103" s="157" t="str">
        <f t="shared" si="7"/>
        <v/>
      </c>
      <c r="I103" s="376" t="str">
        <f>I165</f>
        <v/>
      </c>
      <c r="J103" s="376"/>
    </row>
    <row r="104" spans="2:20" ht="14.25" customHeight="1" x14ac:dyDescent="0.2">
      <c r="B104" s="114" t="str">
        <f>B166</f>
        <v/>
      </c>
      <c r="C104" s="157" t="str">
        <f t="shared" si="7"/>
        <v/>
      </c>
      <c r="D104" s="157" t="str">
        <f t="shared" si="7"/>
        <v/>
      </c>
      <c r="E104" s="157" t="str">
        <f t="shared" si="7"/>
        <v/>
      </c>
      <c r="F104" s="157" t="str">
        <f t="shared" si="7"/>
        <v/>
      </c>
      <c r="G104" s="157" t="str">
        <f t="shared" si="7"/>
        <v/>
      </c>
      <c r="I104" s="376" t="str">
        <f>I166</f>
        <v/>
      </c>
      <c r="J104" s="376"/>
    </row>
    <row r="105" spans="2:20" ht="14.25" customHeight="1" x14ac:dyDescent="0.2">
      <c r="C105" s="74"/>
      <c r="M105" s="87"/>
      <c r="N105" s="88"/>
      <c r="O105" s="88"/>
      <c r="P105" s="88"/>
      <c r="Q105" s="88"/>
      <c r="R105" s="88"/>
      <c r="S105" s="87"/>
      <c r="T105" s="89"/>
    </row>
    <row r="106" spans="2:20" ht="14.25" customHeight="1" x14ac:dyDescent="0.25">
      <c r="B106" s="72" t="s">
        <v>153</v>
      </c>
      <c r="M106" s="87"/>
      <c r="N106" s="88"/>
      <c r="O106" s="88"/>
      <c r="P106" s="88"/>
      <c r="Q106" s="88"/>
      <c r="R106" s="88"/>
      <c r="S106" s="87"/>
      <c r="T106" s="89"/>
    </row>
    <row r="107" spans="2:20" ht="14.25" customHeight="1" x14ac:dyDescent="0.2">
      <c r="B107" s="165"/>
      <c r="C107" s="166" t="s">
        <v>9</v>
      </c>
      <c r="D107" s="166" t="s">
        <v>10</v>
      </c>
      <c r="E107" s="166" t="s">
        <v>11</v>
      </c>
      <c r="F107" s="166" t="s">
        <v>12</v>
      </c>
      <c r="G107" s="167" t="s">
        <v>13</v>
      </c>
      <c r="M107" s="87"/>
      <c r="N107" s="88"/>
      <c r="O107" s="88"/>
      <c r="P107" s="88"/>
      <c r="Q107" s="88"/>
      <c r="R107" s="88"/>
      <c r="S107" s="87"/>
      <c r="T107" s="89"/>
    </row>
    <row r="108" spans="2:20" ht="25.5" x14ac:dyDescent="0.2">
      <c r="B108" s="168" t="s">
        <v>166</v>
      </c>
      <c r="C108" s="170">
        <f>IF($D11="Default",'Yearly Assumptions'!$D$8,'Yearly Assumptions'!$D$9)</f>
        <v>0.3</v>
      </c>
      <c r="D108" s="170">
        <f>IF($D11="Default",'Yearly Assumptions'!$D$8,'Yearly Assumptions'!$D$9)</f>
        <v>0.3</v>
      </c>
      <c r="E108" s="170">
        <f>IF($D11="Default",'Yearly Assumptions'!$D$8,'Yearly Assumptions'!$D$9)</f>
        <v>0.3</v>
      </c>
      <c r="F108" s="170">
        <f>IF($D11="Default",'Yearly Assumptions'!$D$8,'Yearly Assumptions'!$D$9)</f>
        <v>0.3</v>
      </c>
      <c r="G108" s="171">
        <f>IF($D11="Default",'Yearly Assumptions'!$D$8,'Yearly Assumptions'!$D$9)</f>
        <v>0.3</v>
      </c>
      <c r="O108" s="88"/>
      <c r="P108" s="88"/>
      <c r="Q108" s="88"/>
      <c r="R108" s="88"/>
      <c r="S108" s="87"/>
      <c r="T108" s="89"/>
    </row>
    <row r="109" spans="2:20" ht="25.5" x14ac:dyDescent="0.2">
      <c r="B109" s="168" t="s">
        <v>168</v>
      </c>
      <c r="C109" s="170">
        <f>INDEX('Future Forecasts'!D10:D11,MATCH('Tenure Split (WALES)'!$D$14,'Future Forecasts'!$C$10:$C$11,0))</f>
        <v>3.5377362656780903E-2</v>
      </c>
      <c r="D109" s="170">
        <f>INDEX('Future Forecasts'!E10:E11,MATCH('Tenure Split (WALES)'!$D$14,'Future Forecasts'!$C$10:$C$11,0))</f>
        <v>2.571119448209791E-2</v>
      </c>
      <c r="E109" s="170">
        <f>INDEX('Future Forecasts'!F10:F11,MATCH('Tenure Split (WALES)'!$D$14,'Future Forecasts'!$C$10:$C$11,0))</f>
        <v>3.2803011550502595E-2</v>
      </c>
      <c r="F109" s="170">
        <f>INDEX('Future Forecasts'!G10:G11,MATCH('Tenure Split (WALES)'!$D$14,'Future Forecasts'!$C$10:$C$11,0))</f>
        <v>3.70858525612624E-2</v>
      </c>
      <c r="G109" s="171">
        <f>INDEX('Future Forecasts'!H10:H11,MATCH('Tenure Split (WALES)'!$D$14,'Future Forecasts'!$C$10:$C$11,0))</f>
        <v>3.8062223065459387E-2</v>
      </c>
      <c r="O109" s="88"/>
      <c r="P109" s="88"/>
      <c r="Q109" s="88"/>
      <c r="R109" s="88"/>
      <c r="S109" s="87"/>
      <c r="T109" s="89"/>
    </row>
    <row r="110" spans="2:20" ht="38.25" x14ac:dyDescent="0.2">
      <c r="B110" s="168" t="s">
        <v>169</v>
      </c>
      <c r="C110" s="170">
        <f>INDEX('Future Forecasts'!D14:D16,MATCH('Tenure Split (WALES)'!$D$15,'Future Forecasts'!$C$14:$C$16,0))</f>
        <v>0.01</v>
      </c>
      <c r="D110" s="170">
        <f>INDEX('Future Forecasts'!E14:E16,MATCH('Tenure Split (WALES)'!$D$15,'Future Forecasts'!$C$14:$C$16,0))</f>
        <v>0.01</v>
      </c>
      <c r="E110" s="170">
        <f>INDEX('Future Forecasts'!F14:F16,MATCH('Tenure Split (WALES)'!$D$15,'Future Forecasts'!$C$14:$C$16,0))</f>
        <v>0.01</v>
      </c>
      <c r="F110" s="170">
        <f>INDEX('Future Forecasts'!G14:G16,MATCH('Tenure Split (WALES)'!$D$15,'Future Forecasts'!$C$14:$C$16,0))</f>
        <v>0.01</v>
      </c>
      <c r="G110" s="171">
        <f>INDEX('Future Forecasts'!H14:H16,MATCH('Tenure Split (WALES)'!$D$15,'Future Forecasts'!$C$14:$C$16,0))</f>
        <v>0.01</v>
      </c>
      <c r="I110" s="271"/>
      <c r="O110" s="88"/>
      <c r="P110" s="88"/>
      <c r="Q110" s="88"/>
      <c r="R110" s="88"/>
      <c r="S110" s="87"/>
      <c r="T110" s="89"/>
    </row>
    <row r="111" spans="2:20" ht="25.5" x14ac:dyDescent="0.2">
      <c r="B111" s="168" t="s">
        <v>171</v>
      </c>
      <c r="C111" s="170">
        <f>INDEX('Future Forecasts'!D21:D22,MATCH('Tenure Split (WALES)'!$D$16,'Future Forecasts'!$C$21:$C$22,0))</f>
        <v>2.9066130553574002E-2</v>
      </c>
      <c r="D111" s="170">
        <f>INDEX('Future Forecasts'!E21:E22,MATCH('Tenure Split (WALES)'!$D$16,'Future Forecasts'!$C$21:$C$22,0))</f>
        <v>2.9536238937667179E-2</v>
      </c>
      <c r="E111" s="170">
        <f>INDEX('Future Forecasts'!F21:F22,MATCH('Tenure Split (WALES)'!$D$16,'Future Forecasts'!$C$21:$C$22,0))</f>
        <v>3.0600923725820621E-2</v>
      </c>
      <c r="F111" s="170">
        <f>INDEX('Future Forecasts'!G21:G22,MATCH('Tenure Split (WALES)'!$D$16,'Future Forecasts'!$C$21:$C$22,0))</f>
        <v>3.1212408697362831E-2</v>
      </c>
      <c r="G111" s="171">
        <f>INDEX('Future Forecasts'!H21:H22,MATCH('Tenure Split (WALES)'!$D$16,'Future Forecasts'!$C$21:$C$22,0))</f>
        <v>3.1716449662899181E-2</v>
      </c>
      <c r="O111" s="88"/>
      <c r="P111" s="88"/>
      <c r="Q111" s="88"/>
      <c r="R111" s="88"/>
      <c r="S111" s="87"/>
      <c r="T111" s="89"/>
    </row>
    <row r="112" spans="2:20" x14ac:dyDescent="0.2">
      <c r="B112" s="168" t="s">
        <v>138</v>
      </c>
      <c r="C112" s="172">
        <f>INDEX('Rental Prices'!D9:D10,MATCH('Tenure Split (WALES)'!D9,'Rental Prices'!B9:B10,0))*(1+C111)</f>
        <v>6483.116622487516</v>
      </c>
      <c r="D112" s="172">
        <f>C112*(1+D111)</f>
        <v>6674.6035041100695</v>
      </c>
      <c r="E112" s="172">
        <f>D112*(1+E111)</f>
        <v>6878.8525368394376</v>
      </c>
      <c r="F112" s="172">
        <f>E112*(1+F111)</f>
        <v>7093.5580935881617</v>
      </c>
      <c r="G112" s="173">
        <f>F112*(1+G111)</f>
        <v>7318.5405717943022</v>
      </c>
      <c r="O112" s="88"/>
      <c r="P112" s="88"/>
      <c r="Q112" s="88"/>
      <c r="R112" s="88"/>
      <c r="S112" s="87"/>
      <c r="T112" s="89"/>
    </row>
    <row r="113" spans="2:20" ht="25.5" x14ac:dyDescent="0.2">
      <c r="B113" s="168" t="s">
        <v>139</v>
      </c>
      <c r="C113" s="172">
        <f>INDEX('Rental Prices'!C9:C10,MATCH('Tenure Split (WALES)'!D9,'Rental Prices'!B9:B10,0))*(1+C111)</f>
        <v>5865.6769441553715</v>
      </c>
      <c r="D113" s="172">
        <f>C113*(1+D111)</f>
        <v>6038.9269799091098</v>
      </c>
      <c r="E113" s="172">
        <f>D113*(1+E111)</f>
        <v>6223.7237238071093</v>
      </c>
      <c r="F113" s="172">
        <f>E113*(1+F111)</f>
        <v>6417.9811322940495</v>
      </c>
      <c r="G113" s="173">
        <f>F113*(1+G111)</f>
        <v>6621.5367078138906</v>
      </c>
      <c r="O113" s="88"/>
      <c r="P113" s="88"/>
      <c r="Q113" s="88"/>
      <c r="R113" s="88"/>
      <c r="S113" s="87"/>
      <c r="T113" s="89"/>
    </row>
    <row r="114" spans="2:20" x14ac:dyDescent="0.2">
      <c r="B114" s="164" t="s">
        <v>161</v>
      </c>
      <c r="C114" s="174">
        <f>IF($D20="Default",'Yearly Assumptions'!$D$11,'Yearly Assumptions'!$D$12)</f>
        <v>3.8</v>
      </c>
      <c r="D114" s="174">
        <f>IF($D20="Default",'Yearly Assumptions'!$D$11,'Yearly Assumptions'!$D$12)</f>
        <v>3.8</v>
      </c>
      <c r="E114" s="174">
        <f>IF($D20="Default",'Yearly Assumptions'!$D$11,'Yearly Assumptions'!$D$12)</f>
        <v>3.8</v>
      </c>
      <c r="F114" s="174">
        <f>IF($D20="Default",'Yearly Assumptions'!$D$11,'Yearly Assumptions'!$D$12)</f>
        <v>3.8</v>
      </c>
      <c r="G114" s="175">
        <f>IF($D20="Default",'Yearly Assumptions'!$D$11,'Yearly Assumptions'!$D$12)</f>
        <v>3.8</v>
      </c>
      <c r="O114" s="88"/>
      <c r="P114" s="88"/>
      <c r="Q114" s="88"/>
      <c r="R114" s="88"/>
      <c r="S114" s="87"/>
      <c r="T114" s="89"/>
    </row>
    <row r="115" spans="2:20" ht="25.5" x14ac:dyDescent="0.2">
      <c r="B115" s="164" t="s">
        <v>45</v>
      </c>
      <c r="C115" s="174">
        <f>IF($D21=25,25,IF($D21=40,40,'Yearly Assumptions'!$D$16))</f>
        <v>25</v>
      </c>
      <c r="D115" s="174">
        <f>IF($D21=25,25,IF($D21=40,40,'Yearly Assumptions'!$D$16))</f>
        <v>25</v>
      </c>
      <c r="E115" s="174">
        <f>IF($D21=25,25,IF($D21=40,40,'Yearly Assumptions'!$D$16))</f>
        <v>25</v>
      </c>
      <c r="F115" s="174">
        <f>IF($D21=25,25,IF($D21=40,40,'Yearly Assumptions'!$D$16))</f>
        <v>25</v>
      </c>
      <c r="G115" s="175">
        <f>IF($D21=25,25,IF($D21=40,40,'Yearly Assumptions'!$D$16))</f>
        <v>25</v>
      </c>
      <c r="O115" s="88"/>
      <c r="P115" s="88"/>
      <c r="Q115" s="88"/>
      <c r="R115" s="88"/>
      <c r="S115" s="87"/>
      <c r="T115" s="89"/>
    </row>
    <row r="116" spans="2:20" ht="25.5" x14ac:dyDescent="0.2">
      <c r="B116" s="164" t="s">
        <v>165</v>
      </c>
      <c r="C116" s="176" t="str">
        <f>IF(ISBLANK('Yearly Assumptions'!$D$18),"-",'Yearly Assumptions'!$D$18)</f>
        <v>-</v>
      </c>
      <c r="D116" s="176" t="str">
        <f>IF(ISBLANK('Yearly Assumptions'!$D$18),"-",'Yearly Assumptions'!$D$18)</f>
        <v>-</v>
      </c>
      <c r="E116" s="176" t="str">
        <f>IF(ISBLANK('Yearly Assumptions'!$D$18),"-",'Yearly Assumptions'!$D$18)</f>
        <v>-</v>
      </c>
      <c r="F116" s="176" t="str">
        <f>IF(ISBLANK('Yearly Assumptions'!$D$18),"-",'Yearly Assumptions'!$D$18)</f>
        <v>-</v>
      </c>
      <c r="G116" s="177" t="str">
        <f>IF(ISBLANK('Yearly Assumptions'!$D$18),"-",'Yearly Assumptions'!$D$18)</f>
        <v>-</v>
      </c>
      <c r="O116" s="88"/>
      <c r="P116" s="88"/>
      <c r="Q116" s="88"/>
      <c r="R116" s="88"/>
      <c r="S116" s="87"/>
      <c r="T116" s="89"/>
    </row>
    <row r="117" spans="2:20" ht="25.5" x14ac:dyDescent="0.2">
      <c r="B117" s="164" t="s">
        <v>167</v>
      </c>
      <c r="C117" s="176">
        <f>IF($D23="Default",'Yearly Assumptions'!$D$20,'Yearly Assumptions'!$D$21)</f>
        <v>0.35</v>
      </c>
      <c r="D117" s="176">
        <f>IF($D23="Default",'Yearly Assumptions'!$D$20,'Yearly Assumptions'!$D$21)</f>
        <v>0.35</v>
      </c>
      <c r="E117" s="176">
        <f>IF($D23="Default",'Yearly Assumptions'!$D$20,'Yearly Assumptions'!$D$21)</f>
        <v>0.35</v>
      </c>
      <c r="F117" s="176">
        <f>IF($D23="Default",'Yearly Assumptions'!$D$20,'Yearly Assumptions'!$D$21)</f>
        <v>0.35</v>
      </c>
      <c r="G117" s="177">
        <f>IF($D23="Default",'Yearly Assumptions'!$D$20,'Yearly Assumptions'!$D$21)</f>
        <v>0.35</v>
      </c>
      <c r="O117" s="88"/>
      <c r="P117" s="88"/>
      <c r="Q117" s="88"/>
      <c r="R117" s="88"/>
      <c r="S117" s="87"/>
      <c r="T117" s="89"/>
    </row>
    <row r="118" spans="2:20" ht="25.5" x14ac:dyDescent="0.2">
      <c r="B118" s="169" t="s">
        <v>170</v>
      </c>
      <c r="C118" s="178">
        <f>INDEX('Future Forecasts'!D26:D27,MATCH('Tenure Split (WALES)'!$D$25,'Future Forecasts'!$C$26:$C$27,0))</f>
        <v>2.8405585293094449E-2</v>
      </c>
      <c r="D118" s="178">
        <f>INDEX('Future Forecasts'!E26:E27,MATCH('Tenure Split (WALES)'!$D$25,'Future Forecasts'!$C$26:$C$27,0))</f>
        <v>2.2265547421218557E-3</v>
      </c>
      <c r="E118" s="178">
        <f>INDEX('Future Forecasts'!F26:F27,MATCH('Tenure Split (WALES)'!$D$25,'Future Forecasts'!$C$26:$C$27,0))</f>
        <v>2.1524380028468126E-2</v>
      </c>
      <c r="F118" s="178">
        <f>INDEX('Future Forecasts'!G26:G27,MATCH('Tenure Split (WALES)'!$D$25,'Future Forecasts'!$C$26:$C$27,0))</f>
        <v>3.8999168521062666E-2</v>
      </c>
      <c r="G118" s="179">
        <f>INDEX('Future Forecasts'!H26:H27,MATCH('Tenure Split (WALES)'!$D$25,'Future Forecasts'!$C$26:$C$27,0))</f>
        <v>4.147992390238664E-2</v>
      </c>
      <c r="O118" s="88"/>
      <c r="P118" s="88"/>
      <c r="Q118" s="88"/>
      <c r="R118" s="88"/>
      <c r="S118" s="87"/>
      <c r="T118" s="89"/>
    </row>
    <row r="119" spans="2:20" ht="14.25" customHeight="1" x14ac:dyDescent="0.2">
      <c r="C119" s="74"/>
      <c r="M119" s="87"/>
      <c r="N119" s="88"/>
      <c r="O119" s="88"/>
      <c r="P119" s="88"/>
      <c r="Q119" s="88"/>
      <c r="R119" s="88"/>
      <c r="S119" s="87"/>
      <c r="T119" s="89"/>
    </row>
    <row r="120" spans="2:20" ht="14.25" hidden="1" customHeight="1" x14ac:dyDescent="0.2">
      <c r="B120" s="117" t="s">
        <v>118</v>
      </c>
      <c r="C120" s="118"/>
      <c r="L120" s="87"/>
      <c r="M120" s="88"/>
      <c r="N120" s="88"/>
      <c r="O120" s="88"/>
      <c r="P120" s="88"/>
      <c r="R120" s="88"/>
      <c r="S120" s="87"/>
      <c r="T120" s="89"/>
    </row>
    <row r="121" spans="2:20" ht="14.25" hidden="1" customHeight="1" x14ac:dyDescent="0.2">
      <c r="B121" s="117" t="s">
        <v>51</v>
      </c>
      <c r="C121" s="119" t="s">
        <v>79</v>
      </c>
      <c r="G121" s="87"/>
      <c r="L121" s="87"/>
      <c r="M121" s="87"/>
      <c r="N121" s="87"/>
      <c r="O121" s="87"/>
      <c r="P121" s="87"/>
      <c r="R121" s="87"/>
      <c r="S121" s="87"/>
      <c r="T121" s="87"/>
    </row>
    <row r="122" spans="2:20" ht="14.25" hidden="1" customHeight="1" x14ac:dyDescent="0.2">
      <c r="B122" s="118" t="s">
        <v>52</v>
      </c>
      <c r="C122" s="118">
        <f>IF(E6="Y",0,1)</f>
        <v>0</v>
      </c>
      <c r="G122" s="87"/>
    </row>
    <row r="123" spans="2:20" ht="14.25" hidden="1" customHeight="1" x14ac:dyDescent="0.2">
      <c r="B123" s="118" t="s">
        <v>23</v>
      </c>
      <c r="C123" s="118">
        <f>IF(E7="Y",0,1)</f>
        <v>0</v>
      </c>
      <c r="G123" s="87"/>
    </row>
    <row r="124" spans="2:20" ht="14.25" hidden="1" customHeight="1" x14ac:dyDescent="0.2">
      <c r="B124" s="118" t="s">
        <v>53</v>
      </c>
      <c r="C124" s="118">
        <f>IF(E8="Y",0,1)</f>
        <v>0</v>
      </c>
      <c r="G124" s="87"/>
    </row>
    <row r="125" spans="2:20" ht="14.25" hidden="1" customHeight="1" x14ac:dyDescent="0.2">
      <c r="B125" s="118" t="s">
        <v>21</v>
      </c>
      <c r="C125" s="118">
        <f>IF(E9="Y",0,1)</f>
        <v>0</v>
      </c>
      <c r="G125" s="87"/>
    </row>
    <row r="126" spans="2:20" ht="14.25" hidden="1" customHeight="1" x14ac:dyDescent="0.2">
      <c r="B126" s="117" t="s">
        <v>50</v>
      </c>
      <c r="C126" s="118"/>
      <c r="G126" s="87"/>
    </row>
    <row r="127" spans="2:20" ht="14.25" hidden="1" customHeight="1" x14ac:dyDescent="0.2">
      <c r="B127" s="118" t="s">
        <v>18</v>
      </c>
      <c r="C127" s="118">
        <f>IF(E11="Y",0,1)</f>
        <v>0</v>
      </c>
      <c r="G127" s="87"/>
    </row>
    <row r="128" spans="2:20" ht="14.25" hidden="1" customHeight="1" x14ac:dyDescent="0.2">
      <c r="B128" s="118" t="s">
        <v>55</v>
      </c>
      <c r="C128" s="118">
        <f>IF(E12="Y",0,1)</f>
        <v>0</v>
      </c>
      <c r="G128" s="87"/>
    </row>
    <row r="129" spans="2:7" ht="14.25" hidden="1" customHeight="1" x14ac:dyDescent="0.2">
      <c r="B129" s="117" t="s">
        <v>56</v>
      </c>
      <c r="C129" s="118"/>
      <c r="G129" s="87"/>
    </row>
    <row r="130" spans="2:7" ht="14.25" hidden="1" customHeight="1" x14ac:dyDescent="0.2">
      <c r="B130" s="118" t="s">
        <v>57</v>
      </c>
      <c r="C130" s="118">
        <f>IF(E14="Y",0,1)</f>
        <v>0</v>
      </c>
      <c r="G130" s="87"/>
    </row>
    <row r="131" spans="2:7" ht="14.25" hidden="1" customHeight="1" x14ac:dyDescent="0.2">
      <c r="B131" s="118" t="s">
        <v>58</v>
      </c>
      <c r="C131" s="118">
        <f>IF(E15="Y",0,1)</f>
        <v>0</v>
      </c>
      <c r="G131" s="87"/>
    </row>
    <row r="132" spans="2:7" ht="14.25" hidden="1" customHeight="1" x14ac:dyDescent="0.2">
      <c r="B132" s="118" t="s">
        <v>60</v>
      </c>
      <c r="C132" s="118">
        <f>IF(E16="Y",0,1)</f>
        <v>0</v>
      </c>
      <c r="G132" s="87"/>
    </row>
    <row r="133" spans="2:7" ht="14.25" hidden="1" customHeight="1" x14ac:dyDescent="0.2">
      <c r="B133" s="118" t="s">
        <v>119</v>
      </c>
      <c r="C133" s="118">
        <f>IF(SUM(C122:C132)&gt;0,1,0)</f>
        <v>0</v>
      </c>
      <c r="G133" s="87"/>
    </row>
    <row r="134" spans="2:7" ht="14.25" hidden="1" customHeight="1" x14ac:dyDescent="0.2">
      <c r="G134" s="87"/>
    </row>
    <row r="135" spans="2:7" ht="14.25" hidden="1" customHeight="1" x14ac:dyDescent="0.2">
      <c r="B135" s="113" t="s">
        <v>120</v>
      </c>
      <c r="C135" s="114"/>
      <c r="G135" s="87"/>
    </row>
    <row r="136" spans="2:7" ht="14.25" hidden="1" customHeight="1" x14ac:dyDescent="0.2">
      <c r="B136" s="113" t="s">
        <v>51</v>
      </c>
      <c r="C136" s="114"/>
      <c r="G136" s="87"/>
    </row>
    <row r="137" spans="2:7" ht="14.25" hidden="1" customHeight="1" x14ac:dyDescent="0.2">
      <c r="B137" s="114" t="s">
        <v>54</v>
      </c>
      <c r="C137" s="114">
        <f>IF(E18="Y",0,1)</f>
        <v>0</v>
      </c>
      <c r="G137" s="87"/>
    </row>
    <row r="138" spans="2:7" ht="14.25" hidden="1" customHeight="1" x14ac:dyDescent="0.2">
      <c r="B138" s="113" t="s">
        <v>50</v>
      </c>
      <c r="C138" s="114"/>
      <c r="G138" s="87"/>
    </row>
    <row r="139" spans="2:7" ht="14.25" hidden="1" customHeight="1" x14ac:dyDescent="0.2">
      <c r="B139" s="114" t="s">
        <v>16</v>
      </c>
      <c r="C139" s="114">
        <f>IF(E20="Y",0,1)</f>
        <v>0</v>
      </c>
      <c r="G139" s="87"/>
    </row>
    <row r="140" spans="2:7" ht="18.75" hidden="1" customHeight="1" x14ac:dyDescent="0.2">
      <c r="B140" s="114" t="s">
        <v>22</v>
      </c>
      <c r="C140" s="114">
        <f>IF(E21="Y",0,1)</f>
        <v>0</v>
      </c>
      <c r="G140" s="87"/>
    </row>
    <row r="141" spans="2:7" ht="18.75" hidden="1" customHeight="1" x14ac:dyDescent="0.2">
      <c r="B141" s="114" t="s">
        <v>17</v>
      </c>
      <c r="C141" s="114">
        <f>IF(E22="Y",0,1)</f>
        <v>1</v>
      </c>
      <c r="G141" s="87"/>
    </row>
    <row r="142" spans="2:7" hidden="1" x14ac:dyDescent="0.2">
      <c r="B142" s="114" t="s">
        <v>19</v>
      </c>
      <c r="C142" s="114">
        <f>IF(E23="Y",0,1)</f>
        <v>0</v>
      </c>
    </row>
    <row r="143" spans="2:7" hidden="1" x14ac:dyDescent="0.2">
      <c r="B143" s="113" t="s">
        <v>56</v>
      </c>
      <c r="C143" s="114"/>
    </row>
    <row r="144" spans="2:7" hidden="1" x14ac:dyDescent="0.2">
      <c r="B144" s="114" t="s">
        <v>59</v>
      </c>
      <c r="C144" s="114">
        <f>IF(E25="Y",0,1)</f>
        <v>0</v>
      </c>
    </row>
    <row r="145" spans="2:10" hidden="1" x14ac:dyDescent="0.2">
      <c r="B145" s="114" t="s">
        <v>121</v>
      </c>
      <c r="C145" s="114">
        <f>IF(SUM(C133,C137:C144)=0,0,1)</f>
        <v>1</v>
      </c>
    </row>
    <row r="146" spans="2:10" hidden="1" x14ac:dyDescent="0.2">
      <c r="C146" s="90"/>
      <c r="D146" s="90"/>
      <c r="E146" s="90"/>
      <c r="F146" s="90"/>
      <c r="G146" s="90"/>
      <c r="I146" s="90"/>
    </row>
    <row r="147" spans="2:10" hidden="1" x14ac:dyDescent="0.2">
      <c r="B147" s="117" t="s">
        <v>122</v>
      </c>
      <c r="C147" s="118"/>
      <c r="D147" s="118"/>
      <c r="E147" s="118"/>
      <c r="F147" s="118"/>
      <c r="G147" s="118"/>
      <c r="H147" s="118"/>
      <c r="I147" s="118"/>
      <c r="J147" s="118"/>
    </row>
    <row r="148" spans="2:10" hidden="1" x14ac:dyDescent="0.2">
      <c r="B148" s="118" t="str">
        <f>IF(C133=1,"Please complete table to view figures.","")</f>
        <v/>
      </c>
      <c r="C148" s="118" t="str">
        <f>IF($C$133=0,"2018/19","")</f>
        <v>2018/19</v>
      </c>
      <c r="D148" s="118" t="str">
        <f>IF($C$133=0,"2019/20","")</f>
        <v>2019/20</v>
      </c>
      <c r="E148" s="118" t="str">
        <f>IF($C$133=0,"2020/21","")</f>
        <v>2020/21</v>
      </c>
      <c r="F148" s="118" t="str">
        <f>IF($C$133=0,"2021/22","")</f>
        <v>2021/22</v>
      </c>
      <c r="G148" s="118" t="str">
        <f>IF($C$133=0,"2022/23","")</f>
        <v>2022/23</v>
      </c>
      <c r="H148" s="118"/>
      <c r="I148" s="118"/>
      <c r="J148" s="118"/>
    </row>
    <row r="149" spans="2:10" hidden="1" x14ac:dyDescent="0.2">
      <c r="B149" s="118" t="str">
        <f>IF($C$133=0,"Market Housing","")</f>
        <v>Market Housing</v>
      </c>
      <c r="C149" s="120">
        <f>IF($C$133=0,'Workings - Wales'!C29,"")</f>
        <v>4475.78</v>
      </c>
      <c r="D149" s="120">
        <f>IF($C$133=0,'Workings - Wales'!D29,"")</f>
        <v>4248.6499999999996</v>
      </c>
      <c r="E149" s="120">
        <f>IF($C$133=0,'Workings - Wales'!E29,"")</f>
        <v>4287.6899999999996</v>
      </c>
      <c r="F149" s="120">
        <f>IF($C$133=0,'Workings - Wales'!F29,"")</f>
        <v>4572.5599999999995</v>
      </c>
      <c r="G149" s="120">
        <f>IF($C$133=0,'Workings - Wales'!G29,"")</f>
        <v>4413.16</v>
      </c>
      <c r="H149" s="118"/>
      <c r="I149" s="118"/>
      <c r="J149" s="118"/>
    </row>
    <row r="150" spans="2:10" hidden="1" x14ac:dyDescent="0.2">
      <c r="B150" s="118" t="str">
        <f>IF($C$133=0,"Affordable Housing","")</f>
        <v>Affordable Housing</v>
      </c>
      <c r="C150" s="120">
        <f>IF($C$133=0,'Workings - Wales'!C30,"")</f>
        <v>3872.2200000000003</v>
      </c>
      <c r="D150" s="120">
        <f>IF($C$133=0,'Workings - Wales'!D30,"")</f>
        <v>3845.3500000000004</v>
      </c>
      <c r="E150" s="120">
        <f>IF($C$133=0,'Workings - Wales'!E30,"")</f>
        <v>3870.3100000000004</v>
      </c>
      <c r="F150" s="120">
        <f>IF($C$133=0,'Workings - Wales'!F30,"")</f>
        <v>4052.4400000000005</v>
      </c>
      <c r="G150" s="120">
        <f>IF($C$133=0,'Workings - Wales'!G30,"")</f>
        <v>3833.84</v>
      </c>
      <c r="H150" s="118"/>
      <c r="I150" s="118"/>
      <c r="J150" s="118"/>
    </row>
    <row r="151" spans="2:10" hidden="1" x14ac:dyDescent="0.2">
      <c r="B151" s="118" t="str">
        <f>IF(C133=1,"Please complete table to view figures.","")</f>
        <v/>
      </c>
      <c r="C151" s="118" t="str">
        <f>IF($C$133=0,"2018/19","")</f>
        <v>2018/19</v>
      </c>
      <c r="D151" s="118" t="str">
        <f>IF($C$133=0,"2019/20","")</f>
        <v>2019/20</v>
      </c>
      <c r="E151" s="118" t="str">
        <f>IF($C$133=0,"2020/21","")</f>
        <v>2020/21</v>
      </c>
      <c r="F151" s="118" t="str">
        <f>IF($C$133=0,"2021/22","")</f>
        <v>2021/22</v>
      </c>
      <c r="G151" s="118" t="str">
        <f>IF($C$133=0,"2022/23","")</f>
        <v>2022/23</v>
      </c>
      <c r="H151" s="118"/>
      <c r="I151" s="118" t="str">
        <f>IF(C133=1,"","Overall 5 Year Split")</f>
        <v>Overall 5 Year Split</v>
      </c>
      <c r="J151" s="118"/>
    </row>
    <row r="152" spans="2:10" hidden="1" x14ac:dyDescent="0.2">
      <c r="B152" s="118" t="str">
        <f>IF($C$133=0,"Market Housing","")</f>
        <v>Market Housing</v>
      </c>
      <c r="C152" s="121">
        <f>IF($C$133=1,"",C149/SUM(C$149:C$150))</f>
        <v>0.53614997604216574</v>
      </c>
      <c r="D152" s="121">
        <f t="shared" ref="D152:G153" si="8">IF($C$133=1,"",D149/SUM(D$149:D$150))</f>
        <v>0.52491351618482818</v>
      </c>
      <c r="E152" s="121">
        <f t="shared" si="8"/>
        <v>0.52558102476097079</v>
      </c>
      <c r="F152" s="121">
        <f t="shared" si="8"/>
        <v>0.53015188405797098</v>
      </c>
      <c r="G152" s="121">
        <f t="shared" si="8"/>
        <v>0.53512307505759671</v>
      </c>
      <c r="H152" s="118"/>
      <c r="I152" s="121">
        <f>IF($C$133=1,"",SUM(C149:G149)/SUM(C149:G150))</f>
        <v>0.53042631172839505</v>
      </c>
      <c r="J152" s="118"/>
    </row>
    <row r="153" spans="2:10" hidden="1" x14ac:dyDescent="0.2">
      <c r="B153" s="118" t="str">
        <f>IF($C$133=0,"Affordable Housing","")</f>
        <v>Affordable Housing</v>
      </c>
      <c r="C153" s="121">
        <f>IF($C$133=1,"",C150/SUM(C$149:C$150))</f>
        <v>0.46385002395783426</v>
      </c>
      <c r="D153" s="121">
        <f t="shared" si="8"/>
        <v>0.47508648381517177</v>
      </c>
      <c r="E153" s="121">
        <f t="shared" si="8"/>
        <v>0.47441897523902921</v>
      </c>
      <c r="F153" s="121">
        <f t="shared" si="8"/>
        <v>0.46984811594202902</v>
      </c>
      <c r="G153" s="121">
        <f t="shared" si="8"/>
        <v>0.46487692494240329</v>
      </c>
      <c r="H153" s="118"/>
      <c r="I153" s="121">
        <f>IF($C$133=1,"",SUM(C150:G150)/SUM(C149:G150))</f>
        <v>0.46957368827160501</v>
      </c>
      <c r="J153" s="118"/>
    </row>
    <row r="154" spans="2:10" hidden="1" x14ac:dyDescent="0.2">
      <c r="C154" s="90"/>
      <c r="D154" s="90"/>
      <c r="E154" s="90"/>
      <c r="F154" s="90"/>
      <c r="G154" s="90"/>
      <c r="I154" s="90"/>
    </row>
    <row r="155" spans="2:10" hidden="1" x14ac:dyDescent="0.2">
      <c r="C155" s="90"/>
      <c r="D155" s="90"/>
      <c r="E155" s="90"/>
      <c r="F155" s="90"/>
      <c r="G155" s="90"/>
      <c r="I155" s="90"/>
    </row>
    <row r="156" spans="2:10" hidden="1" x14ac:dyDescent="0.2">
      <c r="B156" s="113" t="s">
        <v>117</v>
      </c>
      <c r="C156" s="114"/>
      <c r="D156" s="114"/>
      <c r="E156" s="114"/>
      <c r="F156" s="114"/>
      <c r="G156" s="114"/>
      <c r="H156" s="114"/>
      <c r="I156" s="114"/>
      <c r="J156" s="114"/>
    </row>
    <row r="157" spans="2:10" hidden="1" x14ac:dyDescent="0.2">
      <c r="B157" s="114" t="str">
        <f>IF(C145=1,"Please complete table to view estimates split into 4 tenures.","")</f>
        <v>Please complete table to view estimates split into 4 tenures.</v>
      </c>
      <c r="C157" s="114" t="str">
        <f>IF($C$145=0,"2018/19","")</f>
        <v/>
      </c>
      <c r="D157" s="114" t="str">
        <f>IF($C$145=0,"2019/20","")</f>
        <v/>
      </c>
      <c r="E157" s="114" t="str">
        <f>IF($C$145=0,"2020/21","")</f>
        <v/>
      </c>
      <c r="F157" s="114" t="str">
        <f>IF($C$145=0,"2021/22","")</f>
        <v/>
      </c>
      <c r="G157" s="114" t="str">
        <f>IF($C$145=0,"2022/23","")</f>
        <v/>
      </c>
      <c r="H157" s="114"/>
      <c r="I157" s="114"/>
      <c r="J157" s="114"/>
    </row>
    <row r="158" spans="2:10" hidden="1" x14ac:dyDescent="0.2">
      <c r="B158" s="114" t="str">
        <f>IF($C$145=0,"Owner Occupier","")</f>
        <v/>
      </c>
      <c r="C158" s="115" t="str">
        <f>IF($C$145=0,'Workings - Wales'!C59,"")</f>
        <v/>
      </c>
      <c r="D158" s="115" t="str">
        <f>IF($C$145=0,'Workings - Wales'!D59,"")</f>
        <v/>
      </c>
      <c r="E158" s="115" t="str">
        <f>IF($C$145=0,'Workings - Wales'!E59,"")</f>
        <v/>
      </c>
      <c r="F158" s="115" t="str">
        <f>IF($C$145=0,'Workings - Wales'!F59,"")</f>
        <v/>
      </c>
      <c r="G158" s="115" t="str">
        <f>IF($C$145=0,'Workings - Wales'!G59,"")</f>
        <v/>
      </c>
      <c r="H158" s="114"/>
      <c r="I158" s="114"/>
      <c r="J158" s="114"/>
    </row>
    <row r="159" spans="2:10" hidden="1" x14ac:dyDescent="0.2">
      <c r="B159" s="114" t="str">
        <f>IF($C$145=0,"PRS","")</f>
        <v/>
      </c>
      <c r="C159" s="115" t="str">
        <f>IF($C$145=0,'Workings - Wales'!C60,"")</f>
        <v/>
      </c>
      <c r="D159" s="115" t="str">
        <f>IF($C$145=0,'Workings - Wales'!D60,"")</f>
        <v/>
      </c>
      <c r="E159" s="115" t="str">
        <f>IF($C$145=0,'Workings - Wales'!E60,"")</f>
        <v/>
      </c>
      <c r="F159" s="115" t="str">
        <f>IF($C$145=0,'Workings - Wales'!F60,"")</f>
        <v/>
      </c>
      <c r="G159" s="115" t="str">
        <f>IF($C$145=0,'Workings - Wales'!G60,"")</f>
        <v/>
      </c>
      <c r="H159" s="114"/>
      <c r="I159" s="114"/>
      <c r="J159" s="114"/>
    </row>
    <row r="160" spans="2:10" hidden="1" x14ac:dyDescent="0.2">
      <c r="B160" s="114" t="str">
        <f>IF($C$145=0,"Social","")</f>
        <v/>
      </c>
      <c r="C160" s="115" t="str">
        <f>IF($C$145=0,'Workings - Wales'!C61,"")</f>
        <v/>
      </c>
      <c r="D160" s="115" t="str">
        <f>IF($C$145=0,'Workings - Wales'!D61,"")</f>
        <v/>
      </c>
      <c r="E160" s="115" t="str">
        <f>IF($C$145=0,'Workings - Wales'!E61,"")</f>
        <v/>
      </c>
      <c r="F160" s="115" t="str">
        <f>IF($C$145=0,'Workings - Wales'!F61,"")</f>
        <v/>
      </c>
      <c r="G160" s="115" t="str">
        <f>IF($C$145=0,'Workings - Wales'!G61,"")</f>
        <v/>
      </c>
      <c r="H160" s="114"/>
      <c r="I160" s="114"/>
      <c r="J160" s="114"/>
    </row>
    <row r="161" spans="2:24" hidden="1" x14ac:dyDescent="0.2">
      <c r="B161" s="114" t="str">
        <f>IF($C$145=0,"Intermediate","")</f>
        <v/>
      </c>
      <c r="C161" s="115" t="str">
        <f>IF($C$145=0,'Workings - Wales'!C62,"")</f>
        <v/>
      </c>
      <c r="D161" s="115" t="str">
        <f>IF($C$145=0,'Workings - Wales'!D62,"")</f>
        <v/>
      </c>
      <c r="E161" s="115" t="str">
        <f>IF($C$145=0,'Workings - Wales'!E62,"")</f>
        <v/>
      </c>
      <c r="F161" s="115" t="str">
        <f>IF($C$145=0,'Workings - Wales'!F62,"")</f>
        <v/>
      </c>
      <c r="G161" s="115" t="str">
        <f>IF($C$145=0,'Workings - Wales'!G62,"")</f>
        <v/>
      </c>
      <c r="H161" s="114"/>
      <c r="I161" s="114"/>
      <c r="J161" s="114"/>
    </row>
    <row r="162" spans="2:24" hidden="1" x14ac:dyDescent="0.2">
      <c r="B162" s="114" t="str">
        <f>IF(C145=1,"Please complete table to view estimates split into 4 tenures.","")</f>
        <v>Please complete table to view estimates split into 4 tenures.</v>
      </c>
      <c r="C162" s="114" t="str">
        <f>IF($C$145=0,"2018/19","")</f>
        <v/>
      </c>
      <c r="D162" s="114" t="str">
        <f>IF($C$145=0,"2019/20","")</f>
        <v/>
      </c>
      <c r="E162" s="114" t="str">
        <f>IF($C$145=0,"2020/21","")</f>
        <v/>
      </c>
      <c r="F162" s="114" t="str">
        <f>IF($C$145=0,"2021/22","")</f>
        <v/>
      </c>
      <c r="G162" s="114" t="str">
        <f>IF($C$145=0,"2022/23","")</f>
        <v/>
      </c>
      <c r="H162" s="114"/>
      <c r="I162" s="114" t="str">
        <f>IF(C145=1,"","Overall 5 Year Split")</f>
        <v/>
      </c>
      <c r="J162" s="114"/>
    </row>
    <row r="163" spans="2:24" hidden="1" x14ac:dyDescent="0.2">
      <c r="B163" s="114" t="str">
        <f>IF($C$145=0,"Owner Occupier","")</f>
        <v/>
      </c>
      <c r="C163" s="116" t="str">
        <f>IF($C$145=1,"",C158/SUM(C$158:C$161))</f>
        <v/>
      </c>
      <c r="D163" s="116" t="str">
        <f t="shared" ref="D163:G163" si="9">IF($C$145=1,"",D158/SUM(D$158:D$161))</f>
        <v/>
      </c>
      <c r="E163" s="116" t="str">
        <f t="shared" si="9"/>
        <v/>
      </c>
      <c r="F163" s="116" t="str">
        <f t="shared" si="9"/>
        <v/>
      </c>
      <c r="G163" s="116" t="str">
        <f t="shared" si="9"/>
        <v/>
      </c>
      <c r="H163" s="114"/>
      <c r="I163" s="116" t="str">
        <f>IF($C$145=1,"",SUM(C158:G158)/SUM($C$158:$G$161))</f>
        <v/>
      </c>
      <c r="J163" s="114"/>
    </row>
    <row r="164" spans="2:24" hidden="1" x14ac:dyDescent="0.2">
      <c r="B164" s="114" t="str">
        <f>IF($C$145=0,"PRS","")</f>
        <v/>
      </c>
      <c r="C164" s="116" t="str">
        <f t="shared" ref="C164:G164" si="10">IF($C$145=1,"",C159/SUM(C$158:C$161))</f>
        <v/>
      </c>
      <c r="D164" s="116" t="str">
        <f t="shared" si="10"/>
        <v/>
      </c>
      <c r="E164" s="116" t="str">
        <f t="shared" si="10"/>
        <v/>
      </c>
      <c r="F164" s="116" t="str">
        <f t="shared" si="10"/>
        <v/>
      </c>
      <c r="G164" s="116" t="str">
        <f t="shared" si="10"/>
        <v/>
      </c>
      <c r="H164" s="114"/>
      <c r="I164" s="116" t="str">
        <f t="shared" ref="I164:I166" si="11">IF($C$145=1,"",SUM(C159:G159)/SUM($C$158:$G$161))</f>
        <v/>
      </c>
      <c r="J164" s="114"/>
    </row>
    <row r="165" spans="2:24" hidden="1" x14ac:dyDescent="0.2">
      <c r="B165" s="114" t="str">
        <f>IF($C$145=0,"Social Rent","")</f>
        <v/>
      </c>
      <c r="C165" s="116" t="str">
        <f t="shared" ref="C165:G166" si="12">IF($C$145=1,"",C160/SUM(C$158:C$161))</f>
        <v/>
      </c>
      <c r="D165" s="116" t="str">
        <f t="shared" si="12"/>
        <v/>
      </c>
      <c r="E165" s="116" t="str">
        <f t="shared" si="12"/>
        <v/>
      </c>
      <c r="F165" s="116" t="str">
        <f t="shared" si="12"/>
        <v/>
      </c>
      <c r="G165" s="116" t="str">
        <f t="shared" si="12"/>
        <v/>
      </c>
      <c r="H165" s="114"/>
      <c r="I165" s="116" t="str">
        <f t="shared" si="11"/>
        <v/>
      </c>
      <c r="J165" s="114"/>
    </row>
    <row r="166" spans="2:24" hidden="1" x14ac:dyDescent="0.2">
      <c r="B166" s="114" t="str">
        <f>IF($C$145=0,"Intermediate Rent","")</f>
        <v/>
      </c>
      <c r="C166" s="116" t="str">
        <f>IF($C$145=1,"",C161/SUM(C$158:C$161))</f>
        <v/>
      </c>
      <c r="D166" s="116" t="str">
        <f t="shared" si="12"/>
        <v/>
      </c>
      <c r="E166" s="116" t="str">
        <f t="shared" si="12"/>
        <v/>
      </c>
      <c r="F166" s="116" t="str">
        <f t="shared" si="12"/>
        <v/>
      </c>
      <c r="G166" s="116" t="str">
        <f t="shared" si="12"/>
        <v/>
      </c>
      <c r="H166" s="114"/>
      <c r="I166" s="116" t="str">
        <f t="shared" si="11"/>
        <v/>
      </c>
      <c r="J166" s="114"/>
    </row>
    <row r="167" spans="2:24" hidden="1" x14ac:dyDescent="0.2">
      <c r="C167" s="90"/>
      <c r="D167" s="90"/>
      <c r="E167" s="90"/>
      <c r="F167" s="90"/>
      <c r="G167" s="90"/>
      <c r="I167" s="90"/>
    </row>
    <row r="168" spans="2:24" hidden="1" x14ac:dyDescent="0.2">
      <c r="B168" s="74" t="s">
        <v>93</v>
      </c>
      <c r="C168" s="90"/>
      <c r="D168" s="90"/>
      <c r="E168" s="90"/>
      <c r="F168" s="90"/>
      <c r="G168" s="90"/>
      <c r="I168" s="90"/>
    </row>
    <row r="169" spans="2:24" hidden="1" x14ac:dyDescent="0.2">
      <c r="C169" s="90" t="s">
        <v>126</v>
      </c>
      <c r="D169" s="90" t="s">
        <v>128</v>
      </c>
      <c r="E169" s="90" t="s">
        <v>98</v>
      </c>
      <c r="F169" s="90" t="s">
        <v>101</v>
      </c>
      <c r="G169" s="90" t="s">
        <v>99</v>
      </c>
      <c r="H169" s="90" t="s">
        <v>127</v>
      </c>
      <c r="I169" s="90" t="s">
        <v>100</v>
      </c>
      <c r="J169" s="75" t="e">
        <f>". First time buyers have an affordability ratio of "&amp;C175&amp;" and can enter the housing market at the "&amp;C176&amp;" percentile of the house price distribution. "&amp;C177</f>
        <v>#VALUE!</v>
      </c>
    </row>
    <row r="170" spans="2:24" hidden="1" x14ac:dyDescent="0.2">
      <c r="B170" s="75" t="s">
        <v>52</v>
      </c>
      <c r="C170" s="90" t="str">
        <f>IF(D6="User Projections","user's own household projections,","Welsh Government's "&amp;D6&amp;" 2014-based household projections")</f>
        <v>Welsh Government's Principal 2014-based household projections</v>
      </c>
      <c r="D170" s="90"/>
      <c r="E170" s="90"/>
      <c r="F170" s="90"/>
      <c r="G170" s="90"/>
      <c r="I170" s="90"/>
    </row>
    <row r="171" spans="2:24" ht="15" hidden="1" customHeight="1" x14ac:dyDescent="0.2">
      <c r="B171" s="75" t="s">
        <v>23</v>
      </c>
      <c r="C171" s="91" t="str">
        <f>IF(D7="WG Estimates",'Existing Unmet Need'!C12,'Existing Unmet Need'!C21)&amp;" households in existing unmet need"</f>
        <v>5645 households in existing unmet need</v>
      </c>
      <c r="D171" s="90"/>
      <c r="E171" s="90"/>
      <c r="F171" s="90"/>
      <c r="G171" s="90"/>
      <c r="J171" s="92"/>
      <c r="K171" s="92"/>
      <c r="L171" s="92"/>
      <c r="M171" s="92"/>
      <c r="N171" s="92"/>
      <c r="O171" s="92"/>
      <c r="P171" s="92"/>
      <c r="R171" s="92"/>
      <c r="S171" s="92"/>
      <c r="T171" s="92"/>
      <c r="U171" s="92"/>
      <c r="V171" s="92"/>
      <c r="W171" s="92"/>
      <c r="X171" s="92"/>
    </row>
    <row r="172" spans="2:24" hidden="1" x14ac:dyDescent="0.2">
      <c r="B172" s="75" t="s">
        <v>53</v>
      </c>
      <c r="C172" s="90" t="str">
        <f>IF(D8="Other", " user's own estimates "," Welsh Government estimates ")</f>
        <v xml:space="preserve"> Welsh Government estimates </v>
      </c>
      <c r="D172" s="90"/>
      <c r="E172" s="90"/>
      <c r="F172" s="90"/>
      <c r="G172" s="90"/>
      <c r="I172" s="92"/>
      <c r="J172" s="92"/>
      <c r="K172" s="92"/>
      <c r="L172" s="92"/>
      <c r="M172" s="92"/>
      <c r="N172" s="92"/>
      <c r="O172" s="92"/>
      <c r="P172" s="92"/>
      <c r="R172" s="92"/>
      <c r="S172" s="92"/>
      <c r="T172" s="92"/>
      <c r="U172" s="92"/>
      <c r="V172" s="92"/>
      <c r="W172" s="92"/>
      <c r="X172" s="92"/>
    </row>
    <row r="173" spans="2:24" hidden="1" x14ac:dyDescent="0.2">
      <c r="B173" s="75" t="s">
        <v>54</v>
      </c>
      <c r="C173" s="90" t="str">
        <f>IF(D18="Other", " user's own estimates"," Land Registry data")</f>
        <v xml:space="preserve"> Land Registry data</v>
      </c>
      <c r="D173" s="90"/>
      <c r="E173" s="90"/>
      <c r="F173" s="90"/>
      <c r="G173" s="90"/>
      <c r="I173" s="92"/>
      <c r="J173" s="92"/>
      <c r="K173" s="92"/>
      <c r="L173" s="92"/>
      <c r="M173" s="92"/>
      <c r="N173" s="92"/>
      <c r="O173" s="92"/>
      <c r="P173" s="92"/>
      <c r="R173" s="92"/>
      <c r="S173" s="92"/>
      <c r="T173" s="92"/>
      <c r="U173" s="92"/>
      <c r="V173" s="92"/>
      <c r="W173" s="92"/>
      <c r="X173" s="92"/>
    </row>
    <row r="174" spans="2:24" hidden="1" x14ac:dyDescent="0.2">
      <c r="B174" s="75" t="s">
        <v>21</v>
      </c>
      <c r="C174" s="90" t="str">
        <f>IF(D9="Other", " user's own estimates"," Welsh Government data")</f>
        <v xml:space="preserve"> Welsh Government data</v>
      </c>
      <c r="D174" s="90"/>
      <c r="E174" s="90"/>
      <c r="F174" s="90"/>
      <c r="G174" s="90"/>
      <c r="I174" s="92"/>
      <c r="J174" s="92"/>
      <c r="K174" s="92"/>
      <c r="L174" s="92"/>
      <c r="M174" s="92"/>
      <c r="N174" s="92"/>
      <c r="O174" s="92"/>
      <c r="P174" s="92"/>
      <c r="R174" s="92"/>
      <c r="S174" s="92"/>
      <c r="T174" s="92"/>
      <c r="U174" s="92"/>
      <c r="V174" s="92"/>
      <c r="W174" s="92"/>
      <c r="X174" s="92"/>
    </row>
    <row r="175" spans="2:24" hidden="1" x14ac:dyDescent="0.2">
      <c r="B175" s="75" t="s">
        <v>16</v>
      </c>
      <c r="C175" s="93">
        <f>C114</f>
        <v>3.8</v>
      </c>
      <c r="D175" s="90"/>
      <c r="E175" s="90"/>
      <c r="F175" s="90"/>
      <c r="G175" s="90"/>
      <c r="I175" s="92"/>
      <c r="J175" s="92"/>
      <c r="K175" s="92"/>
      <c r="L175" s="92"/>
      <c r="M175" s="92"/>
      <c r="N175" s="92"/>
      <c r="O175" s="92"/>
      <c r="P175" s="92"/>
      <c r="R175" s="92"/>
      <c r="S175" s="92"/>
      <c r="T175" s="92"/>
      <c r="U175" s="92"/>
      <c r="V175" s="92"/>
      <c r="W175" s="92"/>
      <c r="X175" s="92"/>
    </row>
    <row r="176" spans="2:24" hidden="1" x14ac:dyDescent="0.2">
      <c r="B176" s="75" t="s">
        <v>22</v>
      </c>
      <c r="C176" s="93">
        <f>C115</f>
        <v>25</v>
      </c>
      <c r="D176" s="90"/>
      <c r="E176" s="90"/>
      <c r="F176" s="90"/>
      <c r="G176" s="90"/>
      <c r="I176" s="92"/>
      <c r="J176" s="92"/>
      <c r="K176" s="92"/>
      <c r="L176" s="92"/>
      <c r="M176" s="92"/>
      <c r="N176" s="92"/>
      <c r="O176" s="92"/>
      <c r="P176" s="92"/>
      <c r="R176" s="92"/>
      <c r="S176" s="92"/>
      <c r="T176" s="92"/>
      <c r="U176" s="92"/>
      <c r="V176" s="92"/>
      <c r="W176" s="92"/>
      <c r="X176" s="92"/>
    </row>
    <row r="177" spans="2:23" hidden="1" x14ac:dyDescent="0.2">
      <c r="B177" s="75" t="s">
        <v>17</v>
      </c>
      <c r="C177" s="90" t="e">
        <f>C116*100&amp;"% of potential first time buyers go on to buy a property. "</f>
        <v>#VALUE!</v>
      </c>
      <c r="D177" s="90"/>
      <c r="E177" s="90"/>
      <c r="F177" s="90"/>
      <c r="G177" s="90"/>
      <c r="I177" s="92"/>
      <c r="J177" s="92"/>
      <c r="K177" s="92"/>
      <c r="L177" s="92"/>
      <c r="M177" s="92"/>
      <c r="N177" s="92"/>
      <c r="O177" s="92"/>
      <c r="P177" s="92"/>
      <c r="R177" s="92"/>
      <c r="S177" s="92"/>
      <c r="T177" s="92"/>
      <c r="U177" s="92"/>
      <c r="V177" s="92"/>
      <c r="W177" s="92"/>
    </row>
    <row r="178" spans="2:23" hidden="1" x14ac:dyDescent="0.2">
      <c r="B178" s="75" t="s">
        <v>18</v>
      </c>
      <c r="C178" s="90" t="str">
        <f>"Households that spend "&amp;C108*100&amp;"% or less of household income on median private rent can afford private rent,"</f>
        <v>Households that spend 30% or less of household income on median private rent can afford private rent,</v>
      </c>
      <c r="D178" s="90"/>
      <c r="E178" s="90"/>
      <c r="F178" s="90"/>
      <c r="G178" s="90"/>
      <c r="I178" s="90"/>
    </row>
    <row r="179" spans="2:23" hidden="1" x14ac:dyDescent="0.2">
      <c r="B179" s="75" t="s">
        <v>19</v>
      </c>
      <c r="C179" s="90" t="str">
        <f>"Households that spend "&amp;C117*100&amp;"% or more of household income on 30th percentile private rent are suitable for social housing."</f>
        <v>Households that spend 35% or more of household income on 30th percentile private rent are suitable for social housing.</v>
      </c>
      <c r="D179" s="90"/>
      <c r="E179" s="90"/>
      <c r="F179" s="90"/>
      <c r="G179" s="90"/>
      <c r="I179" s="90"/>
    </row>
    <row r="180" spans="2:23" hidden="1" x14ac:dyDescent="0.2">
      <c r="B180" s="75" t="s">
        <v>55</v>
      </c>
      <c r="C180" s="90" t="str">
        <f>" which will take "&amp;'Existing Unmet Need'!C28&amp;" years to clear."</f>
        <v xml:space="preserve"> which will take 5 years to clear.</v>
      </c>
      <c r="D180" s="90"/>
      <c r="E180" s="90"/>
      <c r="F180" s="90"/>
      <c r="G180" s="90"/>
      <c r="I180" s="90"/>
    </row>
    <row r="181" spans="2:23" hidden="1" x14ac:dyDescent="0.2">
      <c r="B181" s="75" t="s">
        <v>57</v>
      </c>
      <c r="C181" s="90" t="str">
        <f>". The yearly change to median household income is based on "&amp;IF(D14="Other","users estimates","the default estimates")</f>
        <v>. The yearly change to median household income is based on the default estimates</v>
      </c>
      <c r="D181" s="90"/>
      <c r="E181" s="90"/>
      <c r="F181" s="90"/>
      <c r="G181" s="90"/>
      <c r="I181" s="90"/>
    </row>
    <row r="182" spans="2:23" hidden="1" x14ac:dyDescent="0.2">
      <c r="B182" s="75" t="s">
        <v>58</v>
      </c>
      <c r="C182" s="90" t="str">
        <f>", the yearly change to the distribution of household income is based on "&amp;IF(D15="Other","users estimates","the default estimates")</f>
        <v>, the yearly change to the distribution of household income is based on the default estimates</v>
      </c>
      <c r="D182" s="90"/>
      <c r="E182" s="90"/>
      <c r="F182" s="90"/>
      <c r="G182" s="90"/>
      <c r="I182" s="90"/>
    </row>
    <row r="183" spans="2:23" hidden="1" x14ac:dyDescent="0.2">
      <c r="B183" s="75" t="s">
        <v>59</v>
      </c>
      <c r="C183" s="90" t="str">
        <f>", the yearly change to house prices is based on "&amp;IF(D25="Other","users estimates","the default estimates")</f>
        <v>, the yearly change to house prices is based on the default estimates</v>
      </c>
      <c r="D183" s="90"/>
      <c r="E183" s="90"/>
      <c r="F183" s="90"/>
      <c r="G183" s="90"/>
      <c r="I183" s="90"/>
    </row>
    <row r="184" spans="2:23" hidden="1" x14ac:dyDescent="0.2">
      <c r="B184" s="75" t="s">
        <v>60</v>
      </c>
      <c r="C184" s="90" t="str">
        <f>" and the yearly change to rental prices is based on "&amp;IF(D16="Other","users estimates","the default estimates.")</f>
        <v xml:space="preserve"> and the yearly change to rental prices is based on the default estimates.</v>
      </c>
      <c r="D184" s="90"/>
      <c r="E184" s="90"/>
      <c r="F184" s="90"/>
      <c r="G184" s="90"/>
      <c r="I184" s="90"/>
    </row>
    <row r="185" spans="2:23" hidden="1" x14ac:dyDescent="0.2">
      <c r="C185" s="90"/>
      <c r="D185" s="90"/>
      <c r="E185" s="90"/>
      <c r="F185" s="90"/>
      <c r="G185" s="90"/>
      <c r="I185" s="90"/>
    </row>
    <row r="186" spans="2:23" hidden="1" x14ac:dyDescent="0.2">
      <c r="B186" s="74" t="s">
        <v>125</v>
      </c>
      <c r="C186" s="90"/>
      <c r="D186" s="90"/>
      <c r="E186" s="90"/>
      <c r="F186" s="90"/>
      <c r="G186" s="90"/>
      <c r="I186" s="90"/>
    </row>
    <row r="187" spans="2:23" hidden="1" x14ac:dyDescent="0.2">
      <c r="B187" s="94" t="str">
        <f>C169&amp;E169&amp;C170&amp;F169&amp;C171&amp;C180&amp;H169&amp;C172&amp;I169&amp;C174&amp;C181&amp;C182&amp;C184</f>
        <v>The below figures split the estimates of housing need into two tenures and are based on the following assumptions. The underlying estimates of additional housing units are based on Welsh Government's Principal 2014-based household projections, and an estimate of 5645 households in existing unmet need which will take 5 years to clear. Income data is based on Welsh Government estimates and private rental data is based on Welsh Government data. The yearly change to median household income is based on the default estimates, the yearly change to the distribution of household income is based on the default estimates and the yearly change to rental prices is based on the default estimates.</v>
      </c>
      <c r="C187" s="90"/>
      <c r="D187" s="90"/>
      <c r="E187" s="90"/>
      <c r="F187" s="90"/>
      <c r="G187" s="90"/>
      <c r="I187" s="90"/>
    </row>
    <row r="188" spans="2:23" hidden="1" x14ac:dyDescent="0.2">
      <c r="B188" s="74" t="str">
        <f>IF(C133=1,"Estimates will not appear below until the above table is complete.",B187)</f>
        <v>The below figures split the estimates of housing need into two tenures and are based on the following assumptions. The underlying estimates of additional housing units are based on Welsh Government's Principal 2014-based household projections, and an estimate of 5645 households in existing unmet need which will take 5 years to clear. Income data is based on Welsh Government estimates and private rental data is based on Welsh Government data. The yearly change to median household income is based on the default estimates, the yearly change to the distribution of household income is based on the default estimates and the yearly change to rental prices is based on the default estimates.</v>
      </c>
      <c r="C188" s="90"/>
      <c r="D188" s="90"/>
      <c r="E188" s="90"/>
      <c r="F188" s="90"/>
      <c r="G188" s="90"/>
      <c r="I188" s="90"/>
    </row>
    <row r="189" spans="2:23" hidden="1" x14ac:dyDescent="0.2">
      <c r="B189" s="74"/>
      <c r="C189" s="90"/>
      <c r="D189" s="90"/>
      <c r="E189" s="90"/>
      <c r="F189" s="90"/>
      <c r="G189" s="90"/>
      <c r="I189" s="90"/>
    </row>
    <row r="190" spans="2:23" hidden="1" x14ac:dyDescent="0.2">
      <c r="B190" s="74" t="s">
        <v>129</v>
      </c>
      <c r="C190" s="90"/>
      <c r="D190" s="90"/>
      <c r="E190" s="90"/>
      <c r="F190" s="90"/>
      <c r="G190" s="90"/>
      <c r="I190" s="90"/>
    </row>
    <row r="191" spans="2:23" hidden="1" x14ac:dyDescent="0.2">
      <c r="B191" s="75" t="e">
        <f>D169&amp;G169&amp;C173&amp;C183&amp;J169&amp;C179</f>
        <v>#VALUE!</v>
      </c>
      <c r="C191" s="90"/>
      <c r="D191" s="90"/>
      <c r="E191" s="90"/>
      <c r="F191" s="90"/>
      <c r="G191" s="90"/>
      <c r="I191" s="90"/>
    </row>
    <row r="192" spans="2:23" hidden="1" x14ac:dyDescent="0.2">
      <c r="B192" s="74" t="str">
        <f>IF(C145=1,"Estimates split into 4 tenures will not appear below until the above table is complete.",B191)</f>
        <v>Estimates split into 4 tenures will not appear below until the above table is complete.</v>
      </c>
      <c r="C192" s="90"/>
      <c r="D192" s="90"/>
      <c r="E192" s="90"/>
      <c r="F192" s="90"/>
      <c r="G192" s="90"/>
      <c r="I192" s="90"/>
    </row>
    <row r="193" spans="2:9" hidden="1" x14ac:dyDescent="0.2">
      <c r="C193" s="90"/>
      <c r="D193" s="90"/>
      <c r="E193" s="90"/>
      <c r="F193" s="90"/>
      <c r="G193" s="90"/>
      <c r="I193" s="90"/>
    </row>
    <row r="194" spans="2:9" hidden="1" x14ac:dyDescent="0.2">
      <c r="B194" s="75" t="s">
        <v>102</v>
      </c>
      <c r="I194" s="90"/>
    </row>
    <row r="195" spans="2:9" hidden="1" x14ac:dyDescent="0.2">
      <c r="B195" s="75" t="s">
        <v>94</v>
      </c>
      <c r="I195" s="90"/>
    </row>
    <row r="196" spans="2:9" hidden="1" x14ac:dyDescent="0.2">
      <c r="B196" s="75" t="s">
        <v>95</v>
      </c>
      <c r="I196" s="90"/>
    </row>
    <row r="197" spans="2:9" hidden="1" x14ac:dyDescent="0.2">
      <c r="B197" s="75" t="s">
        <v>96</v>
      </c>
      <c r="I197" s="90"/>
    </row>
    <row r="198" spans="2:9" hidden="1" x14ac:dyDescent="0.2">
      <c r="B198" s="77" t="str">
        <f>"'Household Projections'"</f>
        <v>'Household Projections'</v>
      </c>
      <c r="I198" s="90"/>
    </row>
    <row r="199" spans="2:9" hidden="1" x14ac:dyDescent="0.2">
      <c r="B199" s="75" t="str">
        <f>"'Existing Unmet Need'"</f>
        <v>'Existing Unmet Need'</v>
      </c>
      <c r="I199" s="90"/>
    </row>
    <row r="200" spans="2:9" hidden="1" x14ac:dyDescent="0.2">
      <c r="B200" s="75" t="str">
        <f>"'Income (Wales)'"</f>
        <v>'Income (Wales)'</v>
      </c>
      <c r="I200" s="90"/>
    </row>
    <row r="201" spans="2:9" hidden="1" x14ac:dyDescent="0.2">
      <c r="B201" s="75" t="str">
        <f>"'House Prices (Wales)'"</f>
        <v>'House Prices (Wales)'</v>
      </c>
      <c r="I201" s="90"/>
    </row>
    <row r="202" spans="2:9" hidden="1" x14ac:dyDescent="0.2">
      <c r="B202" s="75" t="str">
        <f>"'Rental Prices'"</f>
        <v>'Rental Prices'</v>
      </c>
      <c r="I202" s="90"/>
    </row>
    <row r="203" spans="2:9" hidden="1" x14ac:dyDescent="0.2">
      <c r="B203" s="75" t="str">
        <f>"'Set Yearly Assumptions'"</f>
        <v>'Set Yearly Assumptions'</v>
      </c>
      <c r="I203" s="90"/>
    </row>
    <row r="204" spans="2:9" hidden="1" x14ac:dyDescent="0.2">
      <c r="B204" s="75" t="str">
        <f>"'Future Forecasts'"</f>
        <v>'Future Forecasts'</v>
      </c>
      <c r="I204" s="90"/>
    </row>
    <row r="205" spans="2:9" x14ac:dyDescent="0.2">
      <c r="I205" s="90"/>
    </row>
    <row r="206" spans="2:9" x14ac:dyDescent="0.2">
      <c r="I206" s="90"/>
    </row>
    <row r="207" spans="2:9" x14ac:dyDescent="0.2">
      <c r="I207" s="90"/>
    </row>
  </sheetData>
  <sheetProtection sheet="1" objects="1" scenarios="1"/>
  <mergeCells count="30">
    <mergeCell ref="I101:J101"/>
    <mergeCell ref="I102:J102"/>
    <mergeCell ref="I103:J103"/>
    <mergeCell ref="I104:J104"/>
    <mergeCell ref="B5:B16"/>
    <mergeCell ref="B17:B25"/>
    <mergeCell ref="I62:J62"/>
    <mergeCell ref="I63:J63"/>
    <mergeCell ref="B28:J32"/>
    <mergeCell ref="F11:I11"/>
    <mergeCell ref="F17:I17"/>
    <mergeCell ref="F12:I12"/>
    <mergeCell ref="F20:I20"/>
    <mergeCell ref="F18:I18"/>
    <mergeCell ref="F9:I9"/>
    <mergeCell ref="F14:I14"/>
    <mergeCell ref="B1:C1"/>
    <mergeCell ref="F25:I25"/>
    <mergeCell ref="B66:J69"/>
    <mergeCell ref="F15:I15"/>
    <mergeCell ref="F16:I16"/>
    <mergeCell ref="F21:I21"/>
    <mergeCell ref="F22:I22"/>
    <mergeCell ref="F23:I23"/>
    <mergeCell ref="F4:I4"/>
    <mergeCell ref="F5:I5"/>
    <mergeCell ref="F6:I6"/>
    <mergeCell ref="F7:I7"/>
    <mergeCell ref="F8:I8"/>
    <mergeCell ref="B52:J53"/>
  </mergeCells>
  <conditionalFormatting sqref="E6:E9 E11:E12 E14:E16 E25:E27 E18 E20:E23">
    <cfRule type="expression" dxfId="19" priority="4">
      <formula>E6="Y"</formula>
    </cfRule>
  </conditionalFormatting>
  <conditionalFormatting sqref="E6:E12 E14:E16 E18 E20:E27">
    <cfRule type="expression" dxfId="18" priority="3">
      <formula>E6="N"</formula>
    </cfRule>
  </conditionalFormatting>
  <conditionalFormatting sqref="E13">
    <cfRule type="expression" dxfId="17" priority="2">
      <formula>E13="N"</formula>
    </cfRule>
  </conditionalFormatting>
  <conditionalFormatting sqref="E19">
    <cfRule type="expression" dxfId="16" priority="1">
      <formula>E19="N"</formula>
    </cfRule>
  </conditionalFormatting>
  <dataValidations count="7">
    <dataValidation type="list" allowBlank="1" showInputMessage="1" showErrorMessage="1" sqref="D20 D14 D11:D12 D23 D25 D16">
      <formula1>"Default, Other"</formula1>
    </dataValidation>
    <dataValidation type="list" allowBlank="1" showInputMessage="1" showErrorMessage="1" sqref="D21">
      <formula1>"25, 40, Other"</formula1>
    </dataValidation>
    <dataValidation type="list" allowBlank="1" showInputMessage="1" showErrorMessage="1" sqref="D6">
      <formula1>"Principal, Higher Variant, Lower Variant, Zero Migration, Ten Year Migration, User Projections"</formula1>
    </dataValidation>
    <dataValidation type="list" allowBlank="1" showInputMessage="1" showErrorMessage="1" sqref="D7:D8">
      <formula1>"WG Estimates, Other"</formula1>
    </dataValidation>
    <dataValidation type="list" allowBlank="1" showInputMessage="1" showErrorMessage="1" sqref="D18">
      <formula1>"Land Registry Data, Other"</formula1>
    </dataValidation>
    <dataValidation type="list" allowBlank="1" showInputMessage="1" showErrorMessage="1" sqref="D9">
      <formula1>"WG Rent Data, Other"</formula1>
    </dataValidation>
    <dataValidation type="list" allowBlank="1" showInputMessage="1" showErrorMessage="1" sqref="D15">
      <formula1>"Greater Inequality, No change, Other"</formula1>
    </dataValidation>
  </dataValidation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X207"/>
  <sheetViews>
    <sheetView showGridLines="0" zoomScale="90" zoomScaleNormal="90" workbookViewId="0"/>
  </sheetViews>
  <sheetFormatPr defaultColWidth="9.140625" defaultRowHeight="12.75" x14ac:dyDescent="0.2"/>
  <cols>
    <col min="1" max="1" width="4.5703125" style="75" customWidth="1"/>
    <col min="2" max="2" width="18.42578125" style="75" customWidth="1"/>
    <col min="3" max="3" width="25.7109375" style="75" customWidth="1"/>
    <col min="4" max="4" width="20.5703125" style="75" customWidth="1"/>
    <col min="5" max="5" width="18.42578125" style="75" customWidth="1"/>
    <col min="6" max="6" width="15.5703125" style="75" customWidth="1"/>
    <col min="7" max="7" width="12.85546875" style="75" customWidth="1"/>
    <col min="8" max="14" width="13" style="75" customWidth="1"/>
    <col min="15" max="16384" width="9.140625" style="75"/>
  </cols>
  <sheetData>
    <row r="1" spans="1:11" ht="26.25" customHeight="1" x14ac:dyDescent="0.2">
      <c r="B1" s="361" t="s">
        <v>142</v>
      </c>
      <c r="C1" s="361"/>
      <c r="D1" s="105" t="s">
        <v>0</v>
      </c>
    </row>
    <row r="2" spans="1:11" ht="27" customHeight="1" x14ac:dyDescent="0.2">
      <c r="B2" s="388" t="s">
        <v>141</v>
      </c>
      <c r="C2" s="389"/>
      <c r="D2" s="389"/>
      <c r="E2" s="389"/>
      <c r="F2" s="389"/>
      <c r="G2" s="389"/>
      <c r="H2" s="389"/>
      <c r="I2" s="390"/>
    </row>
    <row r="4" spans="1:11" ht="30.75" customHeight="1" x14ac:dyDescent="0.25">
      <c r="C4" s="95" t="s">
        <v>42</v>
      </c>
      <c r="D4" s="104" t="s">
        <v>43</v>
      </c>
      <c r="E4" s="103" t="s">
        <v>97</v>
      </c>
      <c r="F4" s="371" t="s">
        <v>135</v>
      </c>
      <c r="G4" s="371"/>
      <c r="H4" s="371"/>
      <c r="I4" s="372"/>
      <c r="K4" s="72" t="s">
        <v>104</v>
      </c>
    </row>
    <row r="5" spans="1:11" ht="24.75" customHeight="1" x14ac:dyDescent="0.2">
      <c r="B5" s="377" t="s">
        <v>164</v>
      </c>
      <c r="C5" s="130" t="s">
        <v>107</v>
      </c>
      <c r="D5" s="131"/>
      <c r="E5" s="132"/>
      <c r="F5" s="373"/>
      <c r="G5" s="373"/>
      <c r="H5" s="373"/>
      <c r="I5" s="374"/>
    </row>
    <row r="6" spans="1:11" ht="15" customHeight="1" x14ac:dyDescent="0.2">
      <c r="A6" s="108"/>
      <c r="B6" s="378"/>
      <c r="C6" s="133" t="s">
        <v>52</v>
      </c>
      <c r="D6" s="134" t="str">
        <f>'Tenure Split (WALES)'!D6</f>
        <v>Principal</v>
      </c>
      <c r="E6" s="135" t="str">
        <f>IF(OR(F6=$B$195,F6=$B$196),"Y","N")</f>
        <v>Y</v>
      </c>
      <c r="F6" s="375" t="str">
        <f>IF(D6="",B194,IF(D6="Other",IF('Household Projections'!J23&lt;6,B197&amp;B198,B196),B195))</f>
        <v>Default data used</v>
      </c>
      <c r="G6" s="375"/>
      <c r="H6" s="375"/>
      <c r="I6" s="365"/>
    </row>
    <row r="7" spans="1:11" ht="15" customHeight="1" x14ac:dyDescent="0.2">
      <c r="A7" s="108"/>
      <c r="B7" s="378"/>
      <c r="C7" s="133" t="s">
        <v>23</v>
      </c>
      <c r="D7" s="134" t="str">
        <f>'Tenure Split (WALES)'!D7</f>
        <v>WG Estimates</v>
      </c>
      <c r="E7" s="135" t="str">
        <f>IF(OR(F7=$B$195,F7=$B$196),"Y","N")</f>
        <v>Y</v>
      </c>
      <c r="F7" s="365" t="str">
        <f>IF(D7="",B194,IF(D7="Other",IF(ISBLANK('Existing Unmet Need'!C18),'Tenure Split (North Wales)'!B197&amp;'Tenure Split (North Wales)'!B199,'Tenure Split (North Wales)'!B196),'Tenure Split (North Wales)'!B195))</f>
        <v>Default data used</v>
      </c>
      <c r="G7" s="365"/>
      <c r="H7" s="365"/>
      <c r="I7" s="365"/>
    </row>
    <row r="8" spans="1:11" ht="15" customHeight="1" x14ac:dyDescent="0.2">
      <c r="A8" s="108"/>
      <c r="B8" s="378"/>
      <c r="C8" s="133" t="s">
        <v>157</v>
      </c>
      <c r="D8" s="134" t="str">
        <f>'Tenure Split (WALES)'!D8</f>
        <v>WG Estimates</v>
      </c>
      <c r="E8" s="135" t="str">
        <f>IF(OR(F8=$B$195,F8=$B$196),"Y","N")</f>
        <v>Y</v>
      </c>
      <c r="F8" s="365" t="str">
        <f>IF(D8="",B194,IF(D8="Other",IF('Income (North Wales)'!N85=0,B196,B197&amp;B200),B195))</f>
        <v>Default data used</v>
      </c>
      <c r="G8" s="365"/>
      <c r="H8" s="365"/>
      <c r="I8" s="365"/>
    </row>
    <row r="9" spans="1:11" ht="15" customHeight="1" x14ac:dyDescent="0.2">
      <c r="A9" s="108"/>
      <c r="B9" s="378"/>
      <c r="C9" s="133" t="s">
        <v>158</v>
      </c>
      <c r="D9" s="134" t="str">
        <f>'Tenure Split (WALES)'!D9</f>
        <v>WG Rent Data</v>
      </c>
      <c r="E9" s="135" t="str">
        <f>IF(OR(F9=$B$195,F9=$B$196),"Y","N")</f>
        <v>Y</v>
      </c>
      <c r="F9" s="375" t="str">
        <f>IF(D9="",B194,IF(D9="Other",IF(OR(ISBLANK('Rental Prices'!C15),ISBLANK('Rental Prices'!D15)),'Tenure Split (North Wales)'!B197&amp;'Tenure Split (North Wales)'!B202,'Tenure Split (North Wales)'!B196),'Tenure Split (North Wales)'!B195))</f>
        <v>Default data used</v>
      </c>
      <c r="G9" s="375"/>
      <c r="H9" s="375"/>
      <c r="I9" s="365"/>
    </row>
    <row r="10" spans="1:11" ht="24.75" customHeight="1" x14ac:dyDescent="0.2">
      <c r="A10" s="108"/>
      <c r="B10" s="378"/>
      <c r="C10" s="130" t="s">
        <v>299</v>
      </c>
      <c r="D10" s="131"/>
      <c r="E10" s="136"/>
      <c r="F10" s="131"/>
      <c r="G10" s="137"/>
      <c r="H10" s="131"/>
      <c r="I10" s="138"/>
    </row>
    <row r="11" spans="1:11" ht="13.5" customHeight="1" x14ac:dyDescent="0.2">
      <c r="A11" s="108"/>
      <c r="B11" s="378"/>
      <c r="C11" s="139" t="s">
        <v>159</v>
      </c>
      <c r="D11" s="140" t="str">
        <f>'Tenure Split (WALES)'!D11</f>
        <v>Default</v>
      </c>
      <c r="E11" s="135" t="str">
        <f>IF(OR(F11=$B$195,F11=$B$196),"Y","N")</f>
        <v>Y</v>
      </c>
      <c r="F11" s="365" t="str">
        <f>'Tenure Split (WALES)'!F11:I11</f>
        <v>Default data used</v>
      </c>
      <c r="G11" s="365"/>
      <c r="H11" s="365"/>
      <c r="I11" s="365"/>
    </row>
    <row r="12" spans="1:11" ht="15" customHeight="1" x14ac:dyDescent="0.2">
      <c r="A12" s="108"/>
      <c r="B12" s="378"/>
      <c r="C12" s="139" t="s">
        <v>160</v>
      </c>
      <c r="D12" s="140" t="str">
        <f>'Tenure Split (WALES)'!D12</f>
        <v>Default</v>
      </c>
      <c r="E12" s="135" t="str">
        <f>IF(OR(F12=$B$195,F12=$B$196),"Y","N")</f>
        <v>Y</v>
      </c>
      <c r="F12" s="375" t="str">
        <f>'Tenure Split (WALES)'!F12:I12</f>
        <v>Default data used</v>
      </c>
      <c r="G12" s="375"/>
      <c r="H12" s="375"/>
      <c r="I12" s="365"/>
    </row>
    <row r="13" spans="1:11" ht="24.75" customHeight="1" x14ac:dyDescent="0.2">
      <c r="A13" s="108"/>
      <c r="B13" s="378"/>
      <c r="C13" s="130" t="s">
        <v>108</v>
      </c>
      <c r="D13" s="131"/>
      <c r="E13" s="136"/>
      <c r="F13" s="131"/>
      <c r="G13" s="137"/>
      <c r="H13" s="131"/>
      <c r="I13" s="138"/>
    </row>
    <row r="14" spans="1:11" ht="29.25" customHeight="1" x14ac:dyDescent="0.2">
      <c r="A14" s="108"/>
      <c r="B14" s="378"/>
      <c r="C14" s="141" t="s">
        <v>57</v>
      </c>
      <c r="D14" s="140" t="str">
        <f>'Tenure Split (WALES)'!D14</f>
        <v>Default</v>
      </c>
      <c r="E14" s="135" t="str">
        <f>IF(OR(F14=$B$195,F14=$B$196),"Y","N")</f>
        <v>Y</v>
      </c>
      <c r="F14" s="375" t="str">
        <f>'Tenure Split (WALES)'!F14:I14</f>
        <v>Default data used</v>
      </c>
      <c r="G14" s="375"/>
      <c r="H14" s="375"/>
      <c r="I14" s="365"/>
    </row>
    <row r="15" spans="1:11" ht="29.25" customHeight="1" x14ac:dyDescent="0.2">
      <c r="A15" s="108"/>
      <c r="B15" s="378"/>
      <c r="C15" s="141" t="s">
        <v>58</v>
      </c>
      <c r="D15" s="140" t="str">
        <f>'Tenure Split (WALES)'!D15</f>
        <v>Greater Inequality</v>
      </c>
      <c r="E15" s="135" t="str">
        <f>IF(OR(F15=$B$195,F15=$B$196),"Y","N")</f>
        <v>Y</v>
      </c>
      <c r="F15" s="375" t="str">
        <f>'Tenure Split (WALES)'!F15:I15</f>
        <v>Default data used</v>
      </c>
      <c r="G15" s="375"/>
      <c r="H15" s="375"/>
      <c r="I15" s="365"/>
    </row>
    <row r="16" spans="1:11" ht="17.25" customHeight="1" x14ac:dyDescent="0.2">
      <c r="A16" s="108"/>
      <c r="B16" s="379"/>
      <c r="C16" s="142" t="s">
        <v>60</v>
      </c>
      <c r="D16" s="140" t="str">
        <f>'Tenure Split (WALES)'!D16</f>
        <v>Default</v>
      </c>
      <c r="E16" s="143" t="str">
        <f>IF(OR(F16=$B$195,F16=$B$196),"Y","N")</f>
        <v>Y</v>
      </c>
      <c r="F16" s="375" t="str">
        <f>'Tenure Split (WALES)'!F16:I16</f>
        <v>Default data used</v>
      </c>
      <c r="G16" s="375"/>
      <c r="H16" s="375"/>
      <c r="I16" s="365"/>
    </row>
    <row r="17" spans="1:11" ht="24.75" customHeight="1" x14ac:dyDescent="0.2">
      <c r="A17" s="108"/>
      <c r="B17" s="380" t="s">
        <v>311</v>
      </c>
      <c r="C17" s="109" t="s">
        <v>109</v>
      </c>
      <c r="D17" s="110"/>
      <c r="E17" s="125"/>
      <c r="F17" s="383"/>
      <c r="G17" s="383"/>
      <c r="H17" s="383"/>
      <c r="I17" s="384"/>
    </row>
    <row r="18" spans="1:11" ht="31.5" customHeight="1" x14ac:dyDescent="0.2">
      <c r="A18" s="108"/>
      <c r="B18" s="381"/>
      <c r="C18" s="97" t="s">
        <v>54</v>
      </c>
      <c r="D18" s="122" t="str">
        <f>'Tenure Split (WALES)'!D18</f>
        <v>Land Registry Data</v>
      </c>
      <c r="E18" s="124" t="str">
        <f>IF(OR(F18=$B$195,F18=$B$196),"Y","N")</f>
        <v>Y</v>
      </c>
      <c r="F18" s="368" t="str">
        <f>IF(D18="",B194,IF(D18="Other",IF('House Prices (North Wales)'!N85=1,B197&amp;B201,B196),B195))</f>
        <v>Default data used</v>
      </c>
      <c r="G18" s="368"/>
      <c r="H18" s="368"/>
      <c r="I18" s="368"/>
    </row>
    <row r="19" spans="1:11" ht="24.75" customHeight="1" x14ac:dyDescent="0.2">
      <c r="A19" s="108"/>
      <c r="B19" s="381"/>
      <c r="C19" s="96" t="s">
        <v>110</v>
      </c>
      <c r="D19" s="100"/>
      <c r="E19" s="126"/>
      <c r="F19" s="100"/>
      <c r="G19" s="101"/>
      <c r="H19" s="100"/>
      <c r="I19" s="102"/>
    </row>
    <row r="20" spans="1:11" ht="13.5" customHeight="1" x14ac:dyDescent="0.2">
      <c r="A20" s="108"/>
      <c r="B20" s="381"/>
      <c r="C20" s="98" t="s">
        <v>161</v>
      </c>
      <c r="D20" s="122" t="str">
        <f>'Tenure Split (WALES)'!D20</f>
        <v>Default</v>
      </c>
      <c r="E20" s="124" t="str">
        <f>IF(OR(F20=$B$195,F20=$B$196),"Y","N")</f>
        <v>Y</v>
      </c>
      <c r="F20" s="368" t="str">
        <f>'Tenure Split (WALES)'!F20:I20</f>
        <v>Default data used</v>
      </c>
      <c r="G20" s="368"/>
      <c r="H20" s="368"/>
      <c r="I20" s="368"/>
    </row>
    <row r="21" spans="1:11" ht="15" customHeight="1" x14ac:dyDescent="0.2">
      <c r="A21" s="108"/>
      <c r="B21" s="381"/>
      <c r="C21" s="98" t="s">
        <v>45</v>
      </c>
      <c r="D21" s="122">
        <f>'Tenure Split (WALES)'!D21</f>
        <v>25</v>
      </c>
      <c r="E21" s="124" t="str">
        <f>IF(OR(F21=$B$195,F21=$B$196),"Y","N")</f>
        <v>Y</v>
      </c>
      <c r="F21" s="368" t="str">
        <f>'Tenure Split (WALES)'!F21:I21</f>
        <v>Default data used</v>
      </c>
      <c r="G21" s="368"/>
      <c r="H21" s="368"/>
      <c r="I21" s="368"/>
    </row>
    <row r="22" spans="1:11" ht="28.5" customHeight="1" x14ac:dyDescent="0.2">
      <c r="A22" s="108"/>
      <c r="B22" s="381"/>
      <c r="C22" s="123" t="s">
        <v>162</v>
      </c>
      <c r="D22" s="122" t="str">
        <f>'Tenure Split (WALES)'!D22</f>
        <v>User value (no default)</v>
      </c>
      <c r="E22" s="124" t="str">
        <f>IF(OR(F22=$B$195,F22=$B$196),"Y","N")</f>
        <v>N</v>
      </c>
      <c r="F22" s="368" t="str">
        <f>'Tenure Split (WALES)'!F22:I22</f>
        <v>Please enter user data on sheet: 'Set Yearly Assumptions'</v>
      </c>
      <c r="G22" s="368"/>
      <c r="H22" s="368"/>
      <c r="I22" s="368"/>
    </row>
    <row r="23" spans="1:11" ht="15" customHeight="1" x14ac:dyDescent="0.2">
      <c r="A23" s="108"/>
      <c r="B23" s="381"/>
      <c r="C23" s="98" t="s">
        <v>163</v>
      </c>
      <c r="D23" s="122" t="str">
        <f>'Tenure Split (WALES)'!D23</f>
        <v>Default</v>
      </c>
      <c r="E23" s="124" t="str">
        <f>IF(OR(F23=$B$195,F23=$B$196),"Y","N")</f>
        <v>Y</v>
      </c>
      <c r="F23" s="368" t="str">
        <f>'Tenure Split (WALES)'!F23:I23</f>
        <v>Default data used</v>
      </c>
      <c r="G23" s="368"/>
      <c r="H23" s="368"/>
      <c r="I23" s="368"/>
    </row>
    <row r="24" spans="1:11" ht="24.75" customHeight="1" x14ac:dyDescent="0.2">
      <c r="A24" s="108"/>
      <c r="B24" s="381"/>
      <c r="C24" s="96" t="s">
        <v>111</v>
      </c>
      <c r="D24" s="100"/>
      <c r="E24" s="126"/>
      <c r="F24" s="100"/>
      <c r="G24" s="101"/>
      <c r="H24" s="100"/>
      <c r="I24" s="102"/>
    </row>
    <row r="25" spans="1:11" ht="15" customHeight="1" x14ac:dyDescent="0.2">
      <c r="A25" s="108"/>
      <c r="B25" s="382"/>
      <c r="C25" s="144" t="s">
        <v>59</v>
      </c>
      <c r="D25" s="125" t="str">
        <f>'Tenure Split (WALES)'!D25</f>
        <v>Default</v>
      </c>
      <c r="E25" s="126" t="str">
        <f>IF(OR(F25=$B$195,F25=$B$196),"Y","N")</f>
        <v>Y</v>
      </c>
      <c r="F25" s="363" t="str">
        <f>'Tenure Split (WALES)'!F25:I25</f>
        <v>Default data used</v>
      </c>
      <c r="G25" s="363"/>
      <c r="H25" s="363"/>
      <c r="I25" s="363"/>
    </row>
    <row r="26" spans="1:11" ht="15" customHeight="1" x14ac:dyDescent="0.2">
      <c r="C26" s="78"/>
      <c r="D26" s="79"/>
      <c r="E26" s="76"/>
      <c r="F26" s="80"/>
      <c r="G26" s="80"/>
      <c r="H26" s="80"/>
      <c r="I26" s="80"/>
    </row>
    <row r="27" spans="1:11" ht="15" customHeight="1" x14ac:dyDescent="0.2">
      <c r="B27" s="81" t="str">
        <f>IF(C133=1,"","Commentary on chosen assumptions for 2 tenure split: "&amp;D1)</f>
        <v>Commentary on chosen assumptions for 2 tenure split: North Wales</v>
      </c>
      <c r="D27" s="79"/>
      <c r="E27" s="76"/>
      <c r="F27" s="80"/>
      <c r="G27" s="80"/>
      <c r="H27" s="80"/>
      <c r="I27" s="80"/>
    </row>
    <row r="28" spans="1:11" ht="15" customHeight="1" x14ac:dyDescent="0.2">
      <c r="B28" s="364" t="str">
        <f>B188</f>
        <v>The below figures split the estimates of housing need for North Wales into two tenures and are based on the following assumptions. The underlying estimates of additional housing units are based on Welsh Government's Principal 2014-based household projections, and an estimate of 1242 households in existing unmet need which will take 5 years to clear. Income data is based on Welsh Government estimates and private rental data is based on Welsh Government data. The yearly change to median household income is based on the default estimates, the yearly change to the distribution of household income is based on the default estimates and the yearly change to rental prices is based on the default estimates.</v>
      </c>
      <c r="C28" s="364"/>
      <c r="D28" s="364"/>
      <c r="E28" s="364"/>
      <c r="F28" s="364"/>
      <c r="G28" s="364"/>
      <c r="H28" s="364"/>
      <c r="I28" s="364"/>
      <c r="J28" s="364"/>
      <c r="K28" s="111"/>
    </row>
    <row r="29" spans="1:11" ht="15" customHeight="1" x14ac:dyDescent="0.2">
      <c r="B29" s="364"/>
      <c r="C29" s="364"/>
      <c r="D29" s="364"/>
      <c r="E29" s="364"/>
      <c r="F29" s="364"/>
      <c r="G29" s="364"/>
      <c r="H29" s="364"/>
      <c r="I29" s="364"/>
      <c r="J29" s="364"/>
      <c r="K29" s="111"/>
    </row>
    <row r="30" spans="1:11" ht="15" customHeight="1" x14ac:dyDescent="0.2">
      <c r="B30" s="364"/>
      <c r="C30" s="364"/>
      <c r="D30" s="364"/>
      <c r="E30" s="364"/>
      <c r="F30" s="364"/>
      <c r="G30" s="364"/>
      <c r="H30" s="364"/>
      <c r="I30" s="364"/>
      <c r="J30" s="364"/>
      <c r="K30" s="111"/>
    </row>
    <row r="31" spans="1:11" ht="15" customHeight="1" x14ac:dyDescent="0.2">
      <c r="B31" s="364"/>
      <c r="C31" s="364"/>
      <c r="D31" s="364"/>
      <c r="E31" s="364"/>
      <c r="F31" s="364"/>
      <c r="G31" s="364"/>
      <c r="H31" s="364"/>
      <c r="I31" s="364"/>
      <c r="J31" s="364"/>
      <c r="K31" s="111"/>
    </row>
    <row r="32" spans="1:11" ht="15" customHeight="1" x14ac:dyDescent="0.2">
      <c r="B32" s="364"/>
      <c r="C32" s="364"/>
      <c r="D32" s="364"/>
      <c r="E32" s="364"/>
      <c r="F32" s="364"/>
      <c r="G32" s="364"/>
      <c r="H32" s="364"/>
      <c r="I32" s="364"/>
      <c r="J32" s="364"/>
      <c r="K32" s="111"/>
    </row>
    <row r="33" spans="2:11" ht="15" customHeight="1" x14ac:dyDescent="0.2">
      <c r="B33" s="112"/>
      <c r="C33" s="73"/>
      <c r="D33" s="73"/>
      <c r="E33" s="73"/>
      <c r="F33" s="73"/>
      <c r="G33" s="73"/>
      <c r="H33" s="73"/>
      <c r="I33" s="73"/>
      <c r="J33" s="73"/>
      <c r="K33" s="111"/>
    </row>
    <row r="34" spans="2:11" ht="15" customHeight="1" x14ac:dyDescent="0.2">
      <c r="B34" s="112"/>
      <c r="C34" s="73"/>
      <c r="D34" s="73"/>
      <c r="E34" s="73"/>
      <c r="F34" s="73"/>
      <c r="G34" s="73"/>
      <c r="H34" s="73"/>
      <c r="I34" s="73"/>
      <c r="J34" s="73"/>
      <c r="K34" s="111"/>
    </row>
    <row r="35" spans="2:11" ht="15" customHeight="1" x14ac:dyDescent="0.2">
      <c r="B35" s="112"/>
      <c r="C35" s="73"/>
      <c r="D35" s="73"/>
      <c r="E35" s="73"/>
      <c r="F35" s="73"/>
      <c r="G35" s="73"/>
      <c r="H35" s="73"/>
      <c r="I35" s="73"/>
      <c r="J35" s="73"/>
      <c r="K35" s="111"/>
    </row>
    <row r="36" spans="2:11" ht="15" customHeight="1" x14ac:dyDescent="0.2">
      <c r="B36" s="112"/>
      <c r="C36" s="73"/>
      <c r="D36" s="73"/>
      <c r="E36" s="73"/>
      <c r="F36" s="73"/>
      <c r="G36" s="73"/>
      <c r="H36" s="73"/>
      <c r="I36" s="73"/>
      <c r="J36" s="73"/>
      <c r="K36" s="111"/>
    </row>
    <row r="37" spans="2:11" ht="15" customHeight="1" x14ac:dyDescent="0.2">
      <c r="B37" s="112"/>
      <c r="C37" s="73"/>
      <c r="D37" s="73"/>
      <c r="E37" s="73"/>
      <c r="F37" s="73"/>
      <c r="G37" s="73"/>
      <c r="H37" s="73"/>
      <c r="I37" s="73"/>
      <c r="J37" s="73"/>
      <c r="K37" s="111"/>
    </row>
    <row r="38" spans="2:11" ht="15" customHeight="1" x14ac:dyDescent="0.2">
      <c r="B38" s="73"/>
      <c r="C38" s="73"/>
      <c r="D38" s="73"/>
      <c r="E38" s="73"/>
      <c r="F38" s="73"/>
      <c r="G38" s="73"/>
      <c r="H38" s="73"/>
      <c r="I38" s="73"/>
      <c r="J38" s="73"/>
      <c r="K38" s="111"/>
    </row>
    <row r="39" spans="2:11" ht="15" customHeight="1" x14ac:dyDescent="0.2">
      <c r="B39" s="73"/>
      <c r="C39" s="73"/>
      <c r="D39" s="73"/>
      <c r="E39" s="73"/>
      <c r="F39" s="73"/>
      <c r="G39" s="73"/>
      <c r="H39" s="73"/>
      <c r="I39" s="73"/>
      <c r="J39" s="73"/>
      <c r="K39" s="111"/>
    </row>
    <row r="40" spans="2:11" ht="15" customHeight="1" x14ac:dyDescent="0.2">
      <c r="B40" s="73"/>
      <c r="C40" s="73"/>
      <c r="D40" s="73"/>
      <c r="E40" s="73"/>
      <c r="F40" s="73"/>
      <c r="G40" s="73"/>
      <c r="H40" s="73"/>
      <c r="I40" s="73"/>
      <c r="J40" s="73"/>
      <c r="K40" s="111"/>
    </row>
    <row r="41" spans="2:11" ht="15" customHeight="1" x14ac:dyDescent="0.2">
      <c r="B41" s="73"/>
      <c r="C41" s="73"/>
      <c r="D41" s="73"/>
      <c r="E41" s="73"/>
      <c r="F41" s="73"/>
      <c r="G41" s="73"/>
      <c r="H41" s="73"/>
      <c r="I41" s="73"/>
      <c r="J41" s="73"/>
      <c r="K41" s="111"/>
    </row>
    <row r="42" spans="2:11" ht="15" customHeight="1" x14ac:dyDescent="0.2">
      <c r="B42" s="73"/>
      <c r="C42" s="73"/>
      <c r="D42" s="73"/>
      <c r="E42" s="73"/>
      <c r="F42" s="73"/>
      <c r="G42" s="73"/>
      <c r="H42" s="73"/>
      <c r="I42" s="73"/>
      <c r="J42" s="73"/>
      <c r="K42" s="111"/>
    </row>
    <row r="43" spans="2:11" ht="15" customHeight="1" x14ac:dyDescent="0.2">
      <c r="B43" s="73"/>
      <c r="C43" s="73"/>
      <c r="D43" s="73"/>
      <c r="E43" s="73"/>
      <c r="F43" s="73"/>
      <c r="G43" s="73"/>
      <c r="H43" s="73"/>
      <c r="I43" s="73"/>
      <c r="J43" s="73"/>
      <c r="K43" s="111"/>
    </row>
    <row r="44" spans="2:11" ht="15" customHeight="1" x14ac:dyDescent="0.2">
      <c r="B44" s="73"/>
      <c r="C44" s="73"/>
      <c r="D44" s="73"/>
      <c r="E44" s="73"/>
      <c r="F44" s="73"/>
      <c r="G44" s="73"/>
      <c r="H44" s="73"/>
      <c r="I44" s="73"/>
      <c r="J44" s="73"/>
      <c r="K44" s="111"/>
    </row>
    <row r="45" spans="2:11" ht="15" customHeight="1" x14ac:dyDescent="0.2">
      <c r="B45" s="73"/>
      <c r="C45" s="73"/>
      <c r="D45" s="73"/>
      <c r="E45" s="73"/>
      <c r="F45" s="73"/>
      <c r="G45" s="73"/>
      <c r="H45" s="73"/>
      <c r="I45" s="73"/>
      <c r="J45" s="73"/>
      <c r="K45" s="111"/>
    </row>
    <row r="46" spans="2:11" ht="15" customHeight="1" x14ac:dyDescent="0.2">
      <c r="B46" s="73"/>
      <c r="C46" s="73"/>
      <c r="D46" s="73"/>
      <c r="E46" s="73"/>
      <c r="F46" s="73"/>
      <c r="G46" s="73"/>
      <c r="H46" s="73"/>
      <c r="I46" s="73"/>
      <c r="J46" s="73"/>
      <c r="K46" s="111"/>
    </row>
    <row r="47" spans="2:11" ht="15" customHeight="1" x14ac:dyDescent="0.2">
      <c r="B47" s="73"/>
      <c r="C47" s="73"/>
      <c r="D47" s="73"/>
      <c r="E47" s="73"/>
      <c r="F47" s="73"/>
      <c r="G47" s="73"/>
      <c r="H47" s="73"/>
      <c r="I47" s="73"/>
      <c r="J47" s="73"/>
      <c r="K47" s="111"/>
    </row>
    <row r="48" spans="2:11" ht="15" customHeight="1" x14ac:dyDescent="0.2">
      <c r="B48" s="73"/>
      <c r="C48" s="73"/>
      <c r="D48" s="73"/>
      <c r="E48" s="73"/>
      <c r="F48" s="73"/>
      <c r="G48" s="73"/>
      <c r="H48" s="73"/>
      <c r="I48" s="73"/>
      <c r="J48" s="73"/>
      <c r="K48" s="111"/>
    </row>
    <row r="49" spans="2:11" ht="15" customHeight="1" x14ac:dyDescent="0.2">
      <c r="B49" s="73"/>
      <c r="C49" s="73"/>
      <c r="D49" s="73"/>
      <c r="E49" s="73"/>
      <c r="F49" s="73"/>
      <c r="G49" s="73"/>
      <c r="H49" s="73"/>
      <c r="I49" s="73"/>
      <c r="J49" s="73"/>
      <c r="K49" s="111"/>
    </row>
    <row r="50" spans="2:11" ht="15" customHeight="1" x14ac:dyDescent="0.2">
      <c r="B50" s="73"/>
      <c r="C50" s="73"/>
      <c r="D50" s="73"/>
      <c r="E50" s="73"/>
      <c r="F50" s="73"/>
      <c r="G50" s="73"/>
      <c r="H50" s="73"/>
      <c r="I50" s="73"/>
      <c r="J50" s="73"/>
      <c r="K50" s="111"/>
    </row>
    <row r="51" spans="2:11" ht="15" customHeight="1" x14ac:dyDescent="0.2">
      <c r="B51" s="73"/>
      <c r="C51" s="73"/>
      <c r="D51" s="73"/>
      <c r="E51" s="73"/>
      <c r="F51" s="73"/>
      <c r="G51" s="73"/>
      <c r="H51" s="73"/>
      <c r="I51" s="73"/>
      <c r="J51" s="73"/>
      <c r="K51" s="111"/>
    </row>
    <row r="52" spans="2:11" ht="15" customHeight="1" x14ac:dyDescent="0.2">
      <c r="B52" s="354" t="s">
        <v>284</v>
      </c>
      <c r="C52" s="355"/>
      <c r="D52" s="355"/>
      <c r="E52" s="355"/>
      <c r="F52" s="355"/>
      <c r="G52" s="355"/>
      <c r="H52" s="355"/>
      <c r="I52" s="355"/>
      <c r="J52" s="356"/>
      <c r="K52" s="111"/>
    </row>
    <row r="53" spans="2:11" ht="15" customHeight="1" x14ac:dyDescent="0.2">
      <c r="B53" s="357"/>
      <c r="C53" s="358"/>
      <c r="D53" s="358"/>
      <c r="E53" s="358"/>
      <c r="F53" s="358"/>
      <c r="G53" s="358"/>
      <c r="H53" s="358"/>
      <c r="I53" s="358"/>
      <c r="J53" s="359"/>
      <c r="K53" s="111"/>
    </row>
    <row r="54" spans="2:11" ht="15" customHeight="1" x14ac:dyDescent="0.2">
      <c r="B54" s="266"/>
      <c r="C54" s="266"/>
      <c r="D54" s="266"/>
      <c r="E54" s="266"/>
      <c r="F54" s="266"/>
      <c r="G54" s="266"/>
      <c r="H54" s="266"/>
      <c r="I54" s="266"/>
      <c r="J54" s="266"/>
      <c r="K54" s="111"/>
    </row>
    <row r="55" spans="2:11" ht="15" customHeight="1" x14ac:dyDescent="0.2">
      <c r="B55" s="85" t="s">
        <v>172</v>
      </c>
      <c r="C55" s="86"/>
      <c r="D55" s="86"/>
      <c r="E55" s="86"/>
      <c r="F55" s="86"/>
      <c r="G55" s="86"/>
      <c r="K55" s="111"/>
    </row>
    <row r="56" spans="2:11" ht="15" customHeight="1" x14ac:dyDescent="0.2">
      <c r="B56" s="153" t="str">
        <f>B148</f>
        <v/>
      </c>
      <c r="C56" s="154" t="str">
        <f t="shared" ref="C56:G56" si="0">C148</f>
        <v>2018/19</v>
      </c>
      <c r="D56" s="154" t="str">
        <f t="shared" si="0"/>
        <v>2019/20</v>
      </c>
      <c r="E56" s="154" t="str">
        <f t="shared" si="0"/>
        <v>2020/21</v>
      </c>
      <c r="F56" s="154" t="str">
        <f t="shared" si="0"/>
        <v>2021/22</v>
      </c>
      <c r="G56" s="154" t="str">
        <f t="shared" si="0"/>
        <v>2022/23</v>
      </c>
      <c r="K56" s="111"/>
    </row>
    <row r="57" spans="2:11" ht="15" customHeight="1" x14ac:dyDescent="0.2">
      <c r="B57" s="153" t="str">
        <f t="shared" ref="B57:G58" si="1">B149</f>
        <v>Market Housing</v>
      </c>
      <c r="C57" s="155">
        <f t="shared" si="1"/>
        <v>814.79</v>
      </c>
      <c r="D57" s="155">
        <f t="shared" si="1"/>
        <v>758.06</v>
      </c>
      <c r="E57" s="155">
        <f t="shared" si="1"/>
        <v>754</v>
      </c>
      <c r="F57" s="155">
        <f t="shared" si="1"/>
        <v>816.56</v>
      </c>
      <c r="G57" s="155">
        <f t="shared" si="1"/>
        <v>771.13</v>
      </c>
      <c r="K57" s="111"/>
    </row>
    <row r="58" spans="2:11" ht="15" customHeight="1" x14ac:dyDescent="0.2">
      <c r="B58" s="153" t="str">
        <f t="shared" si="1"/>
        <v>Affordable Housing</v>
      </c>
      <c r="C58" s="155">
        <f t="shared" si="1"/>
        <v>814.61000000000013</v>
      </c>
      <c r="D58" s="155">
        <f t="shared" si="1"/>
        <v>797.34000000000015</v>
      </c>
      <c r="E58" s="155">
        <f t="shared" si="1"/>
        <v>794.40000000000009</v>
      </c>
      <c r="F58" s="155">
        <f t="shared" si="1"/>
        <v>815.84000000000015</v>
      </c>
      <c r="G58" s="155">
        <f t="shared" si="1"/>
        <v>784.2700000000001</v>
      </c>
      <c r="K58" s="111"/>
    </row>
    <row r="59" spans="2:11" ht="15" customHeight="1" x14ac:dyDescent="0.2">
      <c r="K59" s="111"/>
    </row>
    <row r="60" spans="2:11" ht="15" customHeight="1" x14ac:dyDescent="0.2">
      <c r="B60" s="74" t="s">
        <v>173</v>
      </c>
      <c r="K60" s="111"/>
    </row>
    <row r="61" spans="2:11" ht="15" customHeight="1" x14ac:dyDescent="0.2">
      <c r="B61" s="114" t="str">
        <f>B151</f>
        <v/>
      </c>
      <c r="C61" s="156" t="str">
        <f t="shared" ref="C61:G63" si="2">C151</f>
        <v>2018/19</v>
      </c>
      <c r="D61" s="156" t="str">
        <f t="shared" si="2"/>
        <v>2019/20</v>
      </c>
      <c r="E61" s="156" t="str">
        <f t="shared" si="2"/>
        <v>2020/21</v>
      </c>
      <c r="F61" s="156" t="str">
        <f t="shared" si="2"/>
        <v>2021/22</v>
      </c>
      <c r="G61" s="156" t="str">
        <f t="shared" si="2"/>
        <v>2022/23</v>
      </c>
      <c r="I61" s="387" t="str">
        <f>I151</f>
        <v>Overall 5 Year Split</v>
      </c>
      <c r="J61" s="387"/>
      <c r="K61" s="111"/>
    </row>
    <row r="62" spans="2:11" ht="15" customHeight="1" x14ac:dyDescent="0.2">
      <c r="B62" s="114" t="str">
        <f>B152</f>
        <v>Market Housing</v>
      </c>
      <c r="C62" s="157">
        <f>C152</f>
        <v>0.5000552350558487</v>
      </c>
      <c r="D62" s="157">
        <f t="shared" si="2"/>
        <v>0.4873730230165873</v>
      </c>
      <c r="E62" s="157">
        <f t="shared" si="2"/>
        <v>0.48695427538103847</v>
      </c>
      <c r="F62" s="157">
        <f t="shared" si="2"/>
        <v>0.50022053418279833</v>
      </c>
      <c r="G62" s="157">
        <f t="shared" si="2"/>
        <v>0.49577600617204576</v>
      </c>
      <c r="I62" s="376">
        <f>I152</f>
        <v>0.49419770231031435</v>
      </c>
      <c r="J62" s="376"/>
      <c r="K62" s="111"/>
    </row>
    <row r="63" spans="2:11" ht="15" customHeight="1" x14ac:dyDescent="0.2">
      <c r="B63" s="114" t="str">
        <f t="shared" ref="B63" si="3">B153</f>
        <v>Affordable</v>
      </c>
      <c r="C63" s="157">
        <f>C153</f>
        <v>0.4999447649441513</v>
      </c>
      <c r="D63" s="157">
        <f t="shared" si="2"/>
        <v>0.51262697698341264</v>
      </c>
      <c r="E63" s="157">
        <f t="shared" si="2"/>
        <v>0.51304572461896158</v>
      </c>
      <c r="F63" s="157">
        <f t="shared" si="2"/>
        <v>0.49977946581720173</v>
      </c>
      <c r="G63" s="157">
        <f t="shared" si="2"/>
        <v>0.50422399382795424</v>
      </c>
      <c r="I63" s="376">
        <f>I153</f>
        <v>0.50580229768968565</v>
      </c>
      <c r="J63" s="376"/>
      <c r="K63" s="111"/>
    </row>
    <row r="64" spans="2:11" ht="15" customHeight="1" x14ac:dyDescent="0.2">
      <c r="B64" s="112"/>
      <c r="C64" s="73"/>
      <c r="D64" s="73"/>
      <c r="E64" s="73"/>
      <c r="F64" s="73"/>
      <c r="G64" s="73"/>
      <c r="H64" s="73"/>
      <c r="I64" s="73"/>
      <c r="J64" s="73"/>
      <c r="K64" s="111"/>
    </row>
    <row r="65" spans="2:11" ht="15" customHeight="1" x14ac:dyDescent="0.2">
      <c r="B65" s="81" t="str">
        <f>IF(C145=1,"","Commentary on chosen assumptions for 4 tenure split")</f>
        <v/>
      </c>
      <c r="C65" s="73"/>
      <c r="D65" s="73"/>
      <c r="E65" s="73"/>
      <c r="F65" s="73"/>
      <c r="G65" s="73"/>
      <c r="H65" s="73"/>
      <c r="I65" s="73"/>
      <c r="J65" s="73"/>
      <c r="K65" s="111"/>
    </row>
    <row r="66" spans="2:11" ht="15" customHeight="1" x14ac:dyDescent="0.2">
      <c r="B66" s="364" t="str">
        <f>B192</f>
        <v>Estimates split into 4 tenures will not appear below until the above table is complete.</v>
      </c>
      <c r="C66" s="364"/>
      <c r="D66" s="364"/>
      <c r="E66" s="364"/>
      <c r="F66" s="364"/>
      <c r="G66" s="364"/>
      <c r="H66" s="364"/>
      <c r="I66" s="364"/>
      <c r="J66" s="364"/>
      <c r="K66" s="111"/>
    </row>
    <row r="67" spans="2:11" ht="15" customHeight="1" x14ac:dyDescent="0.2">
      <c r="B67" s="364"/>
      <c r="C67" s="364"/>
      <c r="D67" s="364"/>
      <c r="E67" s="364"/>
      <c r="F67" s="364"/>
      <c r="G67" s="364"/>
      <c r="H67" s="364"/>
      <c r="I67" s="364"/>
      <c r="J67" s="364"/>
      <c r="K67" s="111"/>
    </row>
    <row r="68" spans="2:11" ht="15" customHeight="1" x14ac:dyDescent="0.2">
      <c r="B68" s="364"/>
      <c r="C68" s="364"/>
      <c r="D68" s="364"/>
      <c r="E68" s="364"/>
      <c r="F68" s="364"/>
      <c r="G68" s="364"/>
      <c r="H68" s="364"/>
      <c r="I68" s="364"/>
      <c r="J68" s="364"/>
      <c r="K68" s="111"/>
    </row>
    <row r="69" spans="2:11" ht="15" customHeight="1" x14ac:dyDescent="0.2">
      <c r="B69" s="364"/>
      <c r="C69" s="364"/>
      <c r="D69" s="364"/>
      <c r="E69" s="364"/>
      <c r="F69" s="364"/>
      <c r="G69" s="364"/>
      <c r="H69" s="364"/>
      <c r="I69" s="364"/>
      <c r="J69" s="364"/>
      <c r="K69" s="111"/>
    </row>
    <row r="70" spans="2:11" ht="15" customHeight="1" x14ac:dyDescent="0.2">
      <c r="C70" s="78"/>
      <c r="D70" s="82"/>
      <c r="F70" s="83"/>
      <c r="G70" s="84"/>
    </row>
    <row r="71" spans="2:11" ht="15" customHeight="1" x14ac:dyDescent="0.2">
      <c r="C71" s="78"/>
      <c r="D71" s="82"/>
      <c r="E71" s="84"/>
      <c r="F71" s="83"/>
      <c r="G71" s="84"/>
    </row>
    <row r="72" spans="2:11" ht="15" customHeight="1" x14ac:dyDescent="0.2">
      <c r="C72" s="78"/>
      <c r="D72" s="82"/>
      <c r="E72" s="84"/>
      <c r="F72" s="83"/>
      <c r="G72" s="84"/>
    </row>
    <row r="73" spans="2:11" ht="15" customHeight="1" x14ac:dyDescent="0.2">
      <c r="C73" s="78"/>
      <c r="D73" s="82"/>
      <c r="E73" s="84"/>
      <c r="F73" s="83"/>
      <c r="G73" s="84"/>
    </row>
    <row r="74" spans="2:11" ht="15" customHeight="1" x14ac:dyDescent="0.2">
      <c r="C74" s="78"/>
      <c r="D74" s="82"/>
      <c r="E74" s="84"/>
      <c r="F74" s="83"/>
      <c r="G74" s="84"/>
    </row>
    <row r="75" spans="2:11" ht="15" customHeight="1" x14ac:dyDescent="0.2">
      <c r="C75" s="78"/>
      <c r="D75" s="82"/>
      <c r="E75" s="84"/>
      <c r="F75" s="83"/>
      <c r="G75" s="84"/>
    </row>
    <row r="76" spans="2:11" ht="15" customHeight="1" x14ac:dyDescent="0.2">
      <c r="C76" s="78"/>
      <c r="D76" s="82"/>
      <c r="E76" s="84"/>
      <c r="F76" s="83"/>
      <c r="G76" s="84"/>
    </row>
    <row r="77" spans="2:11" ht="15" customHeight="1" x14ac:dyDescent="0.2">
      <c r="C77" s="78"/>
      <c r="D77" s="82"/>
      <c r="E77" s="84"/>
      <c r="F77" s="83"/>
      <c r="G77" s="84"/>
    </row>
    <row r="78" spans="2:11" ht="15" customHeight="1" x14ac:dyDescent="0.2">
      <c r="C78" s="78"/>
      <c r="D78" s="82"/>
      <c r="E78" s="84"/>
      <c r="F78" s="83"/>
      <c r="G78" s="84"/>
    </row>
    <row r="79" spans="2:11" ht="15" customHeight="1" x14ac:dyDescent="0.2">
      <c r="C79" s="78"/>
      <c r="D79" s="82"/>
      <c r="E79" s="84"/>
      <c r="F79" s="83"/>
      <c r="G79" s="84"/>
    </row>
    <row r="80" spans="2:11" ht="15" customHeight="1" x14ac:dyDescent="0.2">
      <c r="C80" s="78"/>
      <c r="D80" s="82"/>
      <c r="E80" s="84"/>
      <c r="F80" s="83"/>
      <c r="G80" s="84"/>
    </row>
    <row r="81" spans="2:7" ht="15" customHeight="1" x14ac:dyDescent="0.2">
      <c r="C81" s="78"/>
      <c r="D81" s="82"/>
      <c r="E81" s="84"/>
      <c r="F81" s="83"/>
      <c r="G81" s="84"/>
    </row>
    <row r="82" spans="2:7" ht="15" customHeight="1" x14ac:dyDescent="0.2">
      <c r="C82" s="78"/>
      <c r="D82" s="82"/>
      <c r="E82" s="84"/>
      <c r="F82" s="83"/>
      <c r="G82" s="84"/>
    </row>
    <row r="83" spans="2:7" ht="15" customHeight="1" x14ac:dyDescent="0.2">
      <c r="C83" s="78"/>
      <c r="D83" s="82"/>
      <c r="E83" s="84"/>
      <c r="F83" s="83"/>
      <c r="G83" s="84"/>
    </row>
    <row r="84" spans="2:7" ht="15" customHeight="1" x14ac:dyDescent="0.2">
      <c r="C84" s="78"/>
      <c r="D84" s="82"/>
      <c r="E84" s="84"/>
      <c r="F84" s="83"/>
      <c r="G84" s="84"/>
    </row>
    <row r="85" spans="2:7" ht="15" customHeight="1" x14ac:dyDescent="0.2">
      <c r="C85" s="78"/>
      <c r="D85" s="82"/>
      <c r="E85" s="84"/>
      <c r="F85" s="83"/>
      <c r="G85" s="84"/>
    </row>
    <row r="86" spans="2:7" ht="15" customHeight="1" x14ac:dyDescent="0.2">
      <c r="C86" s="78"/>
      <c r="D86" s="82"/>
      <c r="E86" s="84"/>
      <c r="F86" s="83"/>
      <c r="G86" s="84"/>
    </row>
    <row r="87" spans="2:7" ht="15" customHeight="1" x14ac:dyDescent="0.2">
      <c r="C87" s="78"/>
      <c r="D87" s="82"/>
      <c r="E87" s="84"/>
      <c r="F87" s="83"/>
      <c r="G87" s="84"/>
    </row>
    <row r="88" spans="2:7" ht="15" customHeight="1" x14ac:dyDescent="0.2">
      <c r="C88" s="78"/>
      <c r="D88" s="82"/>
      <c r="E88" s="84"/>
      <c r="F88" s="83"/>
      <c r="G88" s="84"/>
    </row>
    <row r="89" spans="2:7" ht="15" customHeight="1" x14ac:dyDescent="0.2">
      <c r="C89" s="78"/>
      <c r="D89" s="82"/>
      <c r="E89" s="84"/>
      <c r="F89" s="83"/>
      <c r="G89" s="84"/>
    </row>
    <row r="90" spans="2:7" ht="15" customHeight="1" x14ac:dyDescent="0.2">
      <c r="B90" s="85" t="s">
        <v>115</v>
      </c>
      <c r="C90" s="86"/>
      <c r="D90" s="86"/>
      <c r="E90" s="86"/>
      <c r="F90" s="86"/>
      <c r="G90" s="86"/>
    </row>
    <row r="91" spans="2:7" ht="15" customHeight="1" x14ac:dyDescent="0.2">
      <c r="B91" s="159" t="str">
        <f>B157</f>
        <v>Please complete table to view estimates split into 4 tenures.</v>
      </c>
      <c r="C91" s="114"/>
      <c r="D91" s="114"/>
      <c r="E91" s="114"/>
      <c r="F91" s="114"/>
      <c r="G91" s="114"/>
    </row>
    <row r="92" spans="2:7" ht="15" customHeight="1" x14ac:dyDescent="0.2">
      <c r="B92" s="159"/>
      <c r="C92" s="154" t="str">
        <f t="shared" ref="C92:G96" si="4">C157</f>
        <v/>
      </c>
      <c r="D92" s="154" t="str">
        <f t="shared" si="4"/>
        <v/>
      </c>
      <c r="E92" s="154" t="str">
        <f t="shared" si="4"/>
        <v/>
      </c>
      <c r="F92" s="154" t="str">
        <f t="shared" si="4"/>
        <v/>
      </c>
      <c r="G92" s="154" t="str">
        <f t="shared" si="4"/>
        <v/>
      </c>
    </row>
    <row r="93" spans="2:7" ht="15" customHeight="1" x14ac:dyDescent="0.2">
      <c r="B93" s="153" t="str">
        <f>B158</f>
        <v/>
      </c>
      <c r="C93" s="160" t="str">
        <f t="shared" si="4"/>
        <v/>
      </c>
      <c r="D93" s="155" t="str">
        <f t="shared" si="4"/>
        <v/>
      </c>
      <c r="E93" s="155" t="str">
        <f t="shared" si="4"/>
        <v/>
      </c>
      <c r="F93" s="155" t="str">
        <f t="shared" si="4"/>
        <v/>
      </c>
      <c r="G93" s="155" t="str">
        <f t="shared" si="4"/>
        <v/>
      </c>
    </row>
    <row r="94" spans="2:7" ht="15" customHeight="1" x14ac:dyDescent="0.2">
      <c r="B94" s="153" t="str">
        <f>B159</f>
        <v/>
      </c>
      <c r="C94" s="155" t="str">
        <f t="shared" si="4"/>
        <v/>
      </c>
      <c r="D94" s="155" t="str">
        <f t="shared" si="4"/>
        <v/>
      </c>
      <c r="E94" s="155" t="str">
        <f t="shared" si="4"/>
        <v/>
      </c>
      <c r="F94" s="155" t="str">
        <f t="shared" si="4"/>
        <v/>
      </c>
      <c r="G94" s="155" t="str">
        <f t="shared" si="4"/>
        <v/>
      </c>
    </row>
    <row r="95" spans="2:7" ht="15" customHeight="1" x14ac:dyDescent="0.2">
      <c r="B95" s="155" t="str">
        <f>B160</f>
        <v/>
      </c>
      <c r="C95" s="155" t="str">
        <f t="shared" si="4"/>
        <v/>
      </c>
      <c r="D95" s="155" t="str">
        <f t="shared" si="4"/>
        <v/>
      </c>
      <c r="E95" s="155" t="str">
        <f t="shared" si="4"/>
        <v/>
      </c>
      <c r="F95" s="155" t="str">
        <f t="shared" si="4"/>
        <v/>
      </c>
      <c r="G95" s="155" t="str">
        <f t="shared" si="4"/>
        <v/>
      </c>
    </row>
    <row r="96" spans="2:7" ht="15" customHeight="1" x14ac:dyDescent="0.2">
      <c r="B96" s="155" t="str">
        <f>B161</f>
        <v/>
      </c>
      <c r="C96" s="155" t="str">
        <f t="shared" si="4"/>
        <v/>
      </c>
      <c r="D96" s="155" t="str">
        <f t="shared" si="4"/>
        <v/>
      </c>
      <c r="E96" s="155" t="str">
        <f t="shared" si="4"/>
        <v/>
      </c>
      <c r="F96" s="155" t="str">
        <f t="shared" si="4"/>
        <v/>
      </c>
      <c r="G96" s="155" t="str">
        <f t="shared" si="4"/>
        <v/>
      </c>
    </row>
    <row r="97" spans="2:20" ht="15" customHeight="1" x14ac:dyDescent="0.2"/>
    <row r="98" spans="2:20" ht="15" customHeight="1" x14ac:dyDescent="0.2">
      <c r="B98" s="74" t="s">
        <v>116</v>
      </c>
    </row>
    <row r="99" spans="2:20" ht="15" customHeight="1" x14ac:dyDescent="0.2">
      <c r="B99" s="114" t="str">
        <f>B162</f>
        <v>Please complete table to view estimates split into 4 tenures.</v>
      </c>
      <c r="C99" s="114"/>
      <c r="D99" s="114"/>
      <c r="E99" s="114"/>
      <c r="F99" s="114"/>
      <c r="G99" s="114"/>
      <c r="I99" s="387" t="str">
        <f>I162</f>
        <v/>
      </c>
      <c r="J99" s="387"/>
    </row>
    <row r="100" spans="2:20" ht="15" customHeight="1" x14ac:dyDescent="0.2">
      <c r="B100" s="114"/>
      <c r="C100" s="156" t="str">
        <f t="shared" ref="C100:G104" si="5">C162</f>
        <v/>
      </c>
      <c r="D100" s="156" t="str">
        <f t="shared" si="5"/>
        <v/>
      </c>
      <c r="E100" s="156" t="str">
        <f t="shared" si="5"/>
        <v/>
      </c>
      <c r="F100" s="156" t="str">
        <f t="shared" si="5"/>
        <v/>
      </c>
      <c r="G100" s="156" t="str">
        <f t="shared" si="5"/>
        <v/>
      </c>
      <c r="I100" s="158"/>
      <c r="J100" s="158"/>
    </row>
    <row r="101" spans="2:20" ht="15" customHeight="1" x14ac:dyDescent="0.2">
      <c r="B101" s="114" t="str">
        <f>B163</f>
        <v/>
      </c>
      <c r="C101" s="157" t="str">
        <f t="shared" si="5"/>
        <v/>
      </c>
      <c r="D101" s="157" t="str">
        <f t="shared" si="5"/>
        <v/>
      </c>
      <c r="E101" s="157" t="str">
        <f t="shared" si="5"/>
        <v/>
      </c>
      <c r="F101" s="157" t="str">
        <f t="shared" si="5"/>
        <v/>
      </c>
      <c r="G101" s="157" t="str">
        <f t="shared" si="5"/>
        <v/>
      </c>
      <c r="I101" s="376" t="str">
        <f>I163</f>
        <v/>
      </c>
      <c r="J101" s="376"/>
    </row>
    <row r="102" spans="2:20" ht="15" customHeight="1" x14ac:dyDescent="0.2">
      <c r="B102" s="114" t="str">
        <f>B164</f>
        <v/>
      </c>
      <c r="C102" s="157" t="str">
        <f t="shared" si="5"/>
        <v/>
      </c>
      <c r="D102" s="157" t="str">
        <f t="shared" si="5"/>
        <v/>
      </c>
      <c r="E102" s="157" t="str">
        <f t="shared" si="5"/>
        <v/>
      </c>
      <c r="F102" s="157" t="str">
        <f t="shared" si="5"/>
        <v/>
      </c>
      <c r="G102" s="157" t="str">
        <f t="shared" si="5"/>
        <v/>
      </c>
      <c r="I102" s="376" t="str">
        <f>I164</f>
        <v/>
      </c>
      <c r="J102" s="376"/>
    </row>
    <row r="103" spans="2:20" ht="14.25" customHeight="1" x14ac:dyDescent="0.2">
      <c r="B103" s="114" t="str">
        <f>B165</f>
        <v/>
      </c>
      <c r="C103" s="157" t="str">
        <f t="shared" si="5"/>
        <v/>
      </c>
      <c r="D103" s="157" t="str">
        <f t="shared" si="5"/>
        <v/>
      </c>
      <c r="E103" s="157" t="str">
        <f t="shared" si="5"/>
        <v/>
      </c>
      <c r="F103" s="157" t="str">
        <f t="shared" si="5"/>
        <v/>
      </c>
      <c r="G103" s="157" t="str">
        <f t="shared" si="5"/>
        <v/>
      </c>
      <c r="I103" s="376" t="str">
        <f>I165</f>
        <v/>
      </c>
      <c r="J103" s="376"/>
    </row>
    <row r="104" spans="2:20" ht="14.25" customHeight="1" x14ac:dyDescent="0.2">
      <c r="B104" s="114" t="str">
        <f>B166</f>
        <v/>
      </c>
      <c r="C104" s="157" t="str">
        <f t="shared" si="5"/>
        <v/>
      </c>
      <c r="D104" s="157" t="str">
        <f t="shared" si="5"/>
        <v/>
      </c>
      <c r="E104" s="157" t="str">
        <f t="shared" si="5"/>
        <v/>
      </c>
      <c r="F104" s="157" t="str">
        <f t="shared" si="5"/>
        <v/>
      </c>
      <c r="G104" s="157" t="str">
        <f t="shared" si="5"/>
        <v/>
      </c>
      <c r="I104" s="376" t="str">
        <f>I166</f>
        <v/>
      </c>
      <c r="J104" s="376"/>
    </row>
    <row r="105" spans="2:20" ht="14.25" customHeight="1" x14ac:dyDescent="0.2">
      <c r="C105" s="74"/>
      <c r="M105" s="87"/>
      <c r="N105" s="88"/>
      <c r="O105" s="88"/>
      <c r="P105" s="88"/>
      <c r="Q105" s="88"/>
      <c r="R105" s="88"/>
      <c r="S105" s="87"/>
      <c r="T105" s="89"/>
    </row>
    <row r="106" spans="2:20" ht="14.25" customHeight="1" x14ac:dyDescent="0.25">
      <c r="B106" s="72" t="s">
        <v>154</v>
      </c>
      <c r="M106" s="87"/>
      <c r="N106" s="88"/>
      <c r="O106" s="88"/>
      <c r="P106" s="88"/>
      <c r="Q106" s="88"/>
      <c r="R106" s="88"/>
      <c r="S106" s="87"/>
      <c r="T106" s="89"/>
    </row>
    <row r="107" spans="2:20" ht="14.25" customHeight="1" x14ac:dyDescent="0.2">
      <c r="B107" s="165"/>
      <c r="C107" s="166" t="s">
        <v>9</v>
      </c>
      <c r="D107" s="166" t="s">
        <v>10</v>
      </c>
      <c r="E107" s="166" t="s">
        <v>11</v>
      </c>
      <c r="F107" s="166" t="s">
        <v>12</v>
      </c>
      <c r="G107" s="167" t="s">
        <v>13</v>
      </c>
      <c r="M107" s="87"/>
      <c r="N107" s="88"/>
      <c r="O107" s="88"/>
      <c r="P107" s="88"/>
      <c r="Q107" s="88"/>
      <c r="R107" s="88"/>
      <c r="S107" s="87"/>
      <c r="T107" s="89"/>
    </row>
    <row r="108" spans="2:20" ht="25.5" x14ac:dyDescent="0.2">
      <c r="B108" s="168" t="s">
        <v>166</v>
      </c>
      <c r="C108" s="170">
        <f>'Tenure Split (WALES)'!C108</f>
        <v>0.3</v>
      </c>
      <c r="D108" s="170">
        <f>'Tenure Split (WALES)'!D108</f>
        <v>0.3</v>
      </c>
      <c r="E108" s="170">
        <f>'Tenure Split (WALES)'!E108</f>
        <v>0.3</v>
      </c>
      <c r="F108" s="170">
        <f>'Tenure Split (WALES)'!F108</f>
        <v>0.3</v>
      </c>
      <c r="G108" s="171">
        <f>'Tenure Split (WALES)'!G108</f>
        <v>0.3</v>
      </c>
      <c r="O108" s="88"/>
      <c r="P108" s="88"/>
      <c r="Q108" s="88"/>
      <c r="R108" s="88"/>
      <c r="S108" s="87"/>
      <c r="T108" s="89"/>
    </row>
    <row r="109" spans="2:20" ht="25.5" x14ac:dyDescent="0.2">
      <c r="B109" s="168" t="s">
        <v>168</v>
      </c>
      <c r="C109" s="170">
        <f>'Tenure Split (WALES)'!C109</f>
        <v>3.5377362656780903E-2</v>
      </c>
      <c r="D109" s="170">
        <f>'Tenure Split (WALES)'!D109</f>
        <v>2.571119448209791E-2</v>
      </c>
      <c r="E109" s="170">
        <f>'Tenure Split (WALES)'!E109</f>
        <v>3.2803011550502595E-2</v>
      </c>
      <c r="F109" s="170">
        <f>'Tenure Split (WALES)'!F109</f>
        <v>3.70858525612624E-2</v>
      </c>
      <c r="G109" s="171">
        <f>'Tenure Split (WALES)'!G109</f>
        <v>3.8062223065459387E-2</v>
      </c>
      <c r="O109" s="88"/>
      <c r="P109" s="88"/>
      <c r="Q109" s="88"/>
      <c r="R109" s="88"/>
      <c r="S109" s="87"/>
      <c r="T109" s="89"/>
    </row>
    <row r="110" spans="2:20" ht="38.25" x14ac:dyDescent="0.2">
      <c r="B110" s="168" t="s">
        <v>169</v>
      </c>
      <c r="C110" s="170">
        <f>'Tenure Split (WALES)'!C110</f>
        <v>0.01</v>
      </c>
      <c r="D110" s="170">
        <f>'Tenure Split (WALES)'!D110</f>
        <v>0.01</v>
      </c>
      <c r="E110" s="170">
        <f>'Tenure Split (WALES)'!E110</f>
        <v>0.01</v>
      </c>
      <c r="F110" s="170">
        <f>'Tenure Split (WALES)'!F110</f>
        <v>0.01</v>
      </c>
      <c r="G110" s="171">
        <f>'Tenure Split (WALES)'!G110</f>
        <v>0.01</v>
      </c>
      <c r="O110" s="88"/>
      <c r="P110" s="88"/>
      <c r="Q110" s="88"/>
      <c r="R110" s="88"/>
      <c r="S110" s="87"/>
      <c r="T110" s="89"/>
    </row>
    <row r="111" spans="2:20" ht="25.5" x14ac:dyDescent="0.2">
      <c r="B111" s="168" t="s">
        <v>171</v>
      </c>
      <c r="C111" s="170">
        <f>'Tenure Split (WALES)'!C111</f>
        <v>2.9066130553574002E-2</v>
      </c>
      <c r="D111" s="170">
        <f>'Tenure Split (WALES)'!D111</f>
        <v>2.9536238937667179E-2</v>
      </c>
      <c r="E111" s="170">
        <f>'Tenure Split (WALES)'!E111</f>
        <v>3.0600923725820621E-2</v>
      </c>
      <c r="F111" s="170">
        <f>'Tenure Split (WALES)'!F111</f>
        <v>3.1212408697362831E-2</v>
      </c>
      <c r="G111" s="171">
        <f>'Tenure Split (WALES)'!G111</f>
        <v>3.1716449662899181E-2</v>
      </c>
      <c r="O111" s="88"/>
      <c r="P111" s="88"/>
      <c r="Q111" s="88"/>
      <c r="R111" s="88"/>
      <c r="S111" s="87"/>
      <c r="T111" s="89"/>
    </row>
    <row r="112" spans="2:20" x14ac:dyDescent="0.2">
      <c r="B112" s="168" t="s">
        <v>138</v>
      </c>
      <c r="C112" s="172">
        <f>INDEX('Rental Prices'!$D$14:$D$15,MATCH('Tenure Split (North Wales)'!$D$9,'Rental Prices'!$B$14:$B$15,0))*(1+C111)</f>
        <v>6791.8364616535882</v>
      </c>
      <c r="D112" s="172">
        <f>C112*(1+D111)</f>
        <v>6992.4417662105488</v>
      </c>
      <c r="E112" s="172">
        <f>D112*(1+E111)</f>
        <v>7206.4169433556008</v>
      </c>
      <c r="F112" s="172">
        <f>E112*(1+F111)</f>
        <v>7431.3465742352164</v>
      </c>
      <c r="G112" s="173">
        <f>F112*(1+G111)</f>
        <v>7667.0425037845062</v>
      </c>
      <c r="O112" s="88"/>
      <c r="P112" s="88"/>
      <c r="Q112" s="88"/>
      <c r="R112" s="88"/>
      <c r="S112" s="87"/>
      <c r="T112" s="89"/>
    </row>
    <row r="113" spans="2:20" ht="25.5" x14ac:dyDescent="0.2">
      <c r="B113" s="168" t="s">
        <v>139</v>
      </c>
      <c r="C113" s="172">
        <f>INDEX('Rental Prices'!$C$14:$C$15,MATCH('Tenure Split (North Wales)'!$D$9,'Rental Prices'!$B$14:$B$15,0))*(1+C111)</f>
        <v>6112.6528154882299</v>
      </c>
      <c r="D113" s="172">
        <f>C113*(1+D111)</f>
        <v>6293.1975895894948</v>
      </c>
      <c r="E113" s="172">
        <f>D113*(1+E111)</f>
        <v>6485.7752490200419</v>
      </c>
      <c r="F113" s="172">
        <f>E113*(1+F111)</f>
        <v>6688.211916811696</v>
      </c>
      <c r="G113" s="173">
        <f>F113*(1+G111)</f>
        <v>6900.3382534060565</v>
      </c>
      <c r="O113" s="88"/>
      <c r="P113" s="88"/>
      <c r="Q113" s="88"/>
      <c r="R113" s="88"/>
      <c r="S113" s="87"/>
      <c r="T113" s="89"/>
    </row>
    <row r="114" spans="2:20" x14ac:dyDescent="0.2">
      <c r="B114" s="164" t="s">
        <v>161</v>
      </c>
      <c r="C114" s="174">
        <f>'Tenure Split (WALES)'!C114</f>
        <v>3.8</v>
      </c>
      <c r="D114" s="174">
        <f>'Tenure Split (WALES)'!D114</f>
        <v>3.8</v>
      </c>
      <c r="E114" s="174">
        <f>'Tenure Split (WALES)'!E114</f>
        <v>3.8</v>
      </c>
      <c r="F114" s="174">
        <f>'Tenure Split (WALES)'!F114</f>
        <v>3.8</v>
      </c>
      <c r="G114" s="175">
        <f>'Tenure Split (WALES)'!G114</f>
        <v>3.8</v>
      </c>
      <c r="O114" s="88"/>
      <c r="P114" s="88"/>
      <c r="Q114" s="88"/>
      <c r="R114" s="88"/>
      <c r="S114" s="87"/>
      <c r="T114" s="89"/>
    </row>
    <row r="115" spans="2:20" ht="25.5" x14ac:dyDescent="0.2">
      <c r="B115" s="164" t="s">
        <v>45</v>
      </c>
      <c r="C115" s="174">
        <f>'Tenure Split (WALES)'!C115</f>
        <v>25</v>
      </c>
      <c r="D115" s="174">
        <f>'Tenure Split (WALES)'!D115</f>
        <v>25</v>
      </c>
      <c r="E115" s="174">
        <f>'Tenure Split (WALES)'!E115</f>
        <v>25</v>
      </c>
      <c r="F115" s="174">
        <f>'Tenure Split (WALES)'!F115</f>
        <v>25</v>
      </c>
      <c r="G115" s="175">
        <f>'Tenure Split (WALES)'!G115</f>
        <v>25</v>
      </c>
      <c r="O115" s="88"/>
      <c r="P115" s="88"/>
      <c r="Q115" s="88"/>
      <c r="R115" s="88"/>
      <c r="S115" s="87"/>
      <c r="T115" s="89"/>
    </row>
    <row r="116" spans="2:20" ht="25.5" x14ac:dyDescent="0.2">
      <c r="B116" s="164" t="s">
        <v>165</v>
      </c>
      <c r="C116" s="176" t="str">
        <f>'Tenure Split (WALES)'!C116</f>
        <v>-</v>
      </c>
      <c r="D116" s="176" t="str">
        <f>'Tenure Split (WALES)'!D116</f>
        <v>-</v>
      </c>
      <c r="E116" s="176" t="str">
        <f>'Tenure Split (WALES)'!E116</f>
        <v>-</v>
      </c>
      <c r="F116" s="176" t="str">
        <f>'Tenure Split (WALES)'!F116</f>
        <v>-</v>
      </c>
      <c r="G116" s="177" t="str">
        <f>'Tenure Split (WALES)'!G116</f>
        <v>-</v>
      </c>
      <c r="O116" s="88"/>
      <c r="P116" s="88"/>
      <c r="Q116" s="88"/>
      <c r="R116" s="88"/>
      <c r="S116" s="87"/>
      <c r="T116" s="89"/>
    </row>
    <row r="117" spans="2:20" ht="25.5" x14ac:dyDescent="0.2">
      <c r="B117" s="164" t="s">
        <v>167</v>
      </c>
      <c r="C117" s="176">
        <f>'Tenure Split (WALES)'!C117</f>
        <v>0.35</v>
      </c>
      <c r="D117" s="176">
        <f>'Tenure Split (WALES)'!D117</f>
        <v>0.35</v>
      </c>
      <c r="E117" s="176">
        <f>'Tenure Split (WALES)'!E117</f>
        <v>0.35</v>
      </c>
      <c r="F117" s="176">
        <f>'Tenure Split (WALES)'!F117</f>
        <v>0.35</v>
      </c>
      <c r="G117" s="177">
        <f>'Tenure Split (WALES)'!G117</f>
        <v>0.35</v>
      </c>
      <c r="O117" s="88"/>
      <c r="P117" s="88"/>
      <c r="Q117" s="88"/>
      <c r="R117" s="88"/>
      <c r="S117" s="87"/>
      <c r="T117" s="89"/>
    </row>
    <row r="118" spans="2:20" ht="25.5" x14ac:dyDescent="0.2">
      <c r="B118" s="169" t="s">
        <v>170</v>
      </c>
      <c r="C118" s="178">
        <f>'Tenure Split (WALES)'!C118</f>
        <v>2.8405585293094449E-2</v>
      </c>
      <c r="D118" s="178">
        <f>'Tenure Split (WALES)'!D118</f>
        <v>2.2265547421218557E-3</v>
      </c>
      <c r="E118" s="178">
        <f>'Tenure Split (WALES)'!E118</f>
        <v>2.1524380028468126E-2</v>
      </c>
      <c r="F118" s="178">
        <f>'Tenure Split (WALES)'!F118</f>
        <v>3.8999168521062666E-2</v>
      </c>
      <c r="G118" s="179">
        <f>'Tenure Split (WALES)'!G118</f>
        <v>4.147992390238664E-2</v>
      </c>
      <c r="O118" s="88"/>
      <c r="P118" s="88"/>
      <c r="Q118" s="88"/>
      <c r="R118" s="88"/>
      <c r="S118" s="87"/>
      <c r="T118" s="89"/>
    </row>
    <row r="119" spans="2:20" ht="14.25" customHeight="1" x14ac:dyDescent="0.2">
      <c r="C119" s="74"/>
      <c r="M119" s="87"/>
      <c r="N119" s="88"/>
      <c r="O119" s="88"/>
      <c r="P119" s="88"/>
      <c r="Q119" s="88"/>
      <c r="R119" s="88"/>
      <c r="S119" s="87"/>
      <c r="T119" s="89"/>
    </row>
    <row r="120" spans="2:20" ht="14.25" hidden="1" customHeight="1" x14ac:dyDescent="0.2">
      <c r="B120" s="117" t="s">
        <v>118</v>
      </c>
      <c r="C120" s="118"/>
      <c r="L120" s="87"/>
      <c r="M120" s="88"/>
      <c r="N120" s="88"/>
      <c r="O120" s="88"/>
      <c r="P120" s="88"/>
      <c r="R120" s="88"/>
      <c r="S120" s="87"/>
      <c r="T120" s="89"/>
    </row>
    <row r="121" spans="2:20" ht="14.25" hidden="1" customHeight="1" x14ac:dyDescent="0.2">
      <c r="B121" s="117" t="s">
        <v>51</v>
      </c>
      <c r="C121" s="119" t="s">
        <v>79</v>
      </c>
      <c r="G121" s="87"/>
      <c r="L121" s="87"/>
      <c r="M121" s="87"/>
      <c r="N121" s="87"/>
      <c r="O121" s="87"/>
      <c r="P121" s="87"/>
      <c r="R121" s="87"/>
      <c r="S121" s="87"/>
      <c r="T121" s="87"/>
    </row>
    <row r="122" spans="2:20" ht="14.25" hidden="1" customHeight="1" x14ac:dyDescent="0.2">
      <c r="B122" s="118" t="s">
        <v>52</v>
      </c>
      <c r="C122" s="118">
        <f>IF(E6="Y",0,1)</f>
        <v>0</v>
      </c>
      <c r="G122" s="87"/>
    </row>
    <row r="123" spans="2:20" ht="14.25" hidden="1" customHeight="1" x14ac:dyDescent="0.2">
      <c r="B123" s="118" t="s">
        <v>23</v>
      </c>
      <c r="C123" s="118">
        <f>IF(E7="Y",0,1)</f>
        <v>0</v>
      </c>
      <c r="G123" s="87"/>
    </row>
    <row r="124" spans="2:20" ht="14.25" hidden="1" customHeight="1" x14ac:dyDescent="0.2">
      <c r="B124" s="118" t="s">
        <v>53</v>
      </c>
      <c r="C124" s="118">
        <f>IF(E8="Y",0,1)</f>
        <v>0</v>
      </c>
      <c r="G124" s="87"/>
    </row>
    <row r="125" spans="2:20" ht="14.25" hidden="1" customHeight="1" x14ac:dyDescent="0.2">
      <c r="B125" s="118" t="s">
        <v>21</v>
      </c>
      <c r="C125" s="118">
        <f>IF(E9="Y",0,1)</f>
        <v>0</v>
      </c>
      <c r="G125" s="87"/>
    </row>
    <row r="126" spans="2:20" ht="14.25" hidden="1" customHeight="1" x14ac:dyDescent="0.2">
      <c r="B126" s="117" t="s">
        <v>50</v>
      </c>
      <c r="C126" s="118"/>
      <c r="G126" s="87"/>
    </row>
    <row r="127" spans="2:20" ht="14.25" hidden="1" customHeight="1" x14ac:dyDescent="0.2">
      <c r="B127" s="118" t="s">
        <v>18</v>
      </c>
      <c r="C127" s="118">
        <f>IF(E11="Y",0,1)</f>
        <v>0</v>
      </c>
      <c r="G127" s="87"/>
    </row>
    <row r="128" spans="2:20" ht="14.25" hidden="1" customHeight="1" x14ac:dyDescent="0.2">
      <c r="B128" s="118" t="s">
        <v>55</v>
      </c>
      <c r="C128" s="118">
        <f>IF(E12="Y",0,1)</f>
        <v>0</v>
      </c>
      <c r="G128" s="87"/>
    </row>
    <row r="129" spans="2:7" ht="14.25" hidden="1" customHeight="1" x14ac:dyDescent="0.2">
      <c r="B129" s="117" t="s">
        <v>56</v>
      </c>
      <c r="C129" s="118"/>
      <c r="G129" s="87"/>
    </row>
    <row r="130" spans="2:7" ht="14.25" hidden="1" customHeight="1" x14ac:dyDescent="0.2">
      <c r="B130" s="118" t="s">
        <v>57</v>
      </c>
      <c r="C130" s="118">
        <f>IF(E14="Y",0,1)</f>
        <v>0</v>
      </c>
      <c r="G130" s="87"/>
    </row>
    <row r="131" spans="2:7" ht="14.25" hidden="1" customHeight="1" x14ac:dyDescent="0.2">
      <c r="B131" s="118" t="s">
        <v>58</v>
      </c>
      <c r="C131" s="118">
        <f>IF(E15="Y",0,1)</f>
        <v>0</v>
      </c>
      <c r="G131" s="87"/>
    </row>
    <row r="132" spans="2:7" ht="14.25" hidden="1" customHeight="1" x14ac:dyDescent="0.2">
      <c r="B132" s="118" t="s">
        <v>60</v>
      </c>
      <c r="C132" s="118">
        <f>IF(E16="Y",0,1)</f>
        <v>0</v>
      </c>
      <c r="G132" s="87"/>
    </row>
    <row r="133" spans="2:7" ht="14.25" hidden="1" customHeight="1" x14ac:dyDescent="0.2">
      <c r="B133" s="118" t="s">
        <v>119</v>
      </c>
      <c r="C133" s="118">
        <f>IF(SUM(C122:C132)&gt;0,1,0)</f>
        <v>0</v>
      </c>
      <c r="G133" s="87"/>
    </row>
    <row r="134" spans="2:7" ht="14.25" hidden="1" customHeight="1" x14ac:dyDescent="0.2">
      <c r="G134" s="87"/>
    </row>
    <row r="135" spans="2:7" ht="14.25" hidden="1" customHeight="1" x14ac:dyDescent="0.2">
      <c r="B135" s="113" t="s">
        <v>120</v>
      </c>
      <c r="C135" s="114"/>
      <c r="G135" s="87"/>
    </row>
    <row r="136" spans="2:7" ht="14.25" hidden="1" customHeight="1" x14ac:dyDescent="0.2">
      <c r="B136" s="113" t="s">
        <v>51</v>
      </c>
      <c r="C136" s="114"/>
      <c r="G136" s="87"/>
    </row>
    <row r="137" spans="2:7" ht="14.25" hidden="1" customHeight="1" x14ac:dyDescent="0.2">
      <c r="B137" s="114" t="s">
        <v>54</v>
      </c>
      <c r="C137" s="114">
        <f>IF(E18="Y",0,1)</f>
        <v>0</v>
      </c>
      <c r="G137" s="87"/>
    </row>
    <row r="138" spans="2:7" ht="14.25" hidden="1" customHeight="1" x14ac:dyDescent="0.2">
      <c r="B138" s="113" t="s">
        <v>50</v>
      </c>
      <c r="C138" s="114"/>
      <c r="G138" s="87"/>
    </row>
    <row r="139" spans="2:7" ht="14.25" hidden="1" customHeight="1" x14ac:dyDescent="0.2">
      <c r="B139" s="114" t="s">
        <v>16</v>
      </c>
      <c r="C139" s="114">
        <f>IF(E20="Y",0,1)</f>
        <v>0</v>
      </c>
      <c r="G139" s="87"/>
    </row>
    <row r="140" spans="2:7" ht="18.75" hidden="1" customHeight="1" x14ac:dyDescent="0.2">
      <c r="B140" s="114" t="s">
        <v>22</v>
      </c>
      <c r="C140" s="114">
        <f>IF(E21="Y",0,1)</f>
        <v>0</v>
      </c>
      <c r="G140" s="87"/>
    </row>
    <row r="141" spans="2:7" ht="18.75" hidden="1" customHeight="1" x14ac:dyDescent="0.2">
      <c r="B141" s="114" t="s">
        <v>17</v>
      </c>
      <c r="C141" s="114">
        <f>IF(E22="Y",0,1)</f>
        <v>1</v>
      </c>
      <c r="G141" s="87"/>
    </row>
    <row r="142" spans="2:7" hidden="1" x14ac:dyDescent="0.2">
      <c r="B142" s="114" t="s">
        <v>19</v>
      </c>
      <c r="C142" s="114">
        <f>IF(E23="Y",0,1)</f>
        <v>0</v>
      </c>
    </row>
    <row r="143" spans="2:7" hidden="1" x14ac:dyDescent="0.2">
      <c r="B143" s="113" t="s">
        <v>56</v>
      </c>
      <c r="C143" s="114"/>
    </row>
    <row r="144" spans="2:7" hidden="1" x14ac:dyDescent="0.2">
      <c r="B144" s="114" t="s">
        <v>59</v>
      </c>
      <c r="C144" s="114">
        <f>IF(E25="Y",0,1)</f>
        <v>0</v>
      </c>
    </row>
    <row r="145" spans="2:10" hidden="1" x14ac:dyDescent="0.2">
      <c r="B145" s="114" t="s">
        <v>121</v>
      </c>
      <c r="C145" s="114">
        <f>IF(SUM(C133,C137:C144)=0,0,1)</f>
        <v>1</v>
      </c>
    </row>
    <row r="146" spans="2:10" hidden="1" x14ac:dyDescent="0.2">
      <c r="C146" s="90"/>
      <c r="D146" s="90"/>
      <c r="E146" s="90"/>
      <c r="F146" s="90"/>
      <c r="G146" s="90"/>
      <c r="I146" s="90"/>
    </row>
    <row r="147" spans="2:10" hidden="1" x14ac:dyDescent="0.2">
      <c r="B147" s="117" t="s">
        <v>122</v>
      </c>
      <c r="C147" s="118"/>
      <c r="D147" s="118"/>
      <c r="E147" s="118"/>
      <c r="F147" s="118"/>
      <c r="G147" s="118"/>
      <c r="H147" s="118"/>
      <c r="I147" s="118"/>
      <c r="J147" s="118"/>
    </row>
    <row r="148" spans="2:10" hidden="1" x14ac:dyDescent="0.2">
      <c r="B148" s="118" t="str">
        <f>IF(C133=1,"Please complete table to view figures.","")</f>
        <v/>
      </c>
      <c r="C148" s="118" t="str">
        <f>IF($C$133=0,"2018/19","")</f>
        <v>2018/19</v>
      </c>
      <c r="D148" s="118" t="str">
        <f>IF($C$133=0,"2019/20","")</f>
        <v>2019/20</v>
      </c>
      <c r="E148" s="118" t="str">
        <f>IF($C$133=0,"2020/21","")</f>
        <v>2020/21</v>
      </c>
      <c r="F148" s="118" t="str">
        <f>IF($C$133=0,"2021/22","")</f>
        <v>2021/22</v>
      </c>
      <c r="G148" s="118" t="str">
        <f>IF($C$133=0,"2022/23","")</f>
        <v>2022/23</v>
      </c>
      <c r="H148" s="118"/>
      <c r="I148" s="118"/>
      <c r="J148" s="118"/>
    </row>
    <row r="149" spans="2:10" hidden="1" x14ac:dyDescent="0.2">
      <c r="B149" s="118" t="str">
        <f>IF($C$133=0,"Market Housing","")</f>
        <v>Market Housing</v>
      </c>
      <c r="C149" s="120">
        <f>IF($C$133=0,'Workings - North Wales'!C29,"")</f>
        <v>814.79</v>
      </c>
      <c r="D149" s="120">
        <f>IF($C$133=0,'Workings - North Wales'!D29,"")</f>
        <v>758.06</v>
      </c>
      <c r="E149" s="120">
        <f>IF($C$133=0,'Workings - North Wales'!E29,"")</f>
        <v>754</v>
      </c>
      <c r="F149" s="120">
        <f>IF($C$133=0,'Workings - North Wales'!F29,"")</f>
        <v>816.56</v>
      </c>
      <c r="G149" s="120">
        <f>IF($C$133=0,'Workings - North Wales'!G29,"")</f>
        <v>771.13</v>
      </c>
      <c r="H149" s="118"/>
      <c r="I149" s="118"/>
      <c r="J149" s="118"/>
    </row>
    <row r="150" spans="2:10" hidden="1" x14ac:dyDescent="0.2">
      <c r="B150" s="118" t="str">
        <f>IF($C$133=0,"Affordable Housing","")</f>
        <v>Affordable Housing</v>
      </c>
      <c r="C150" s="120">
        <f>IF($C$133=0,'Workings - North Wales'!C30,"")</f>
        <v>814.61000000000013</v>
      </c>
      <c r="D150" s="120">
        <f>IF($C$133=0,'Workings - North Wales'!D30,"")</f>
        <v>797.34000000000015</v>
      </c>
      <c r="E150" s="120">
        <f>IF($C$133=0,'Workings - North Wales'!E30,"")</f>
        <v>794.40000000000009</v>
      </c>
      <c r="F150" s="120">
        <f>IF($C$133=0,'Workings - North Wales'!F30,"")</f>
        <v>815.84000000000015</v>
      </c>
      <c r="G150" s="120">
        <f>IF($C$133=0,'Workings - North Wales'!G30,"")</f>
        <v>784.2700000000001</v>
      </c>
      <c r="H150" s="118"/>
      <c r="I150" s="118"/>
      <c r="J150" s="118"/>
    </row>
    <row r="151" spans="2:10" hidden="1" x14ac:dyDescent="0.2">
      <c r="B151" s="118" t="str">
        <f>IF(C120=1,"Please complete table to view figures.","")</f>
        <v/>
      </c>
      <c r="C151" s="118" t="str">
        <f>IF($C$133=0,"2018/19","")</f>
        <v>2018/19</v>
      </c>
      <c r="D151" s="118" t="str">
        <f>IF($C$133=0,"2019/20","")</f>
        <v>2019/20</v>
      </c>
      <c r="E151" s="118" t="str">
        <f>IF($C$133=0,"2020/21","")</f>
        <v>2020/21</v>
      </c>
      <c r="F151" s="118" t="str">
        <f>IF($C$133=0,"2021/22","")</f>
        <v>2021/22</v>
      </c>
      <c r="G151" s="118" t="str">
        <f>IF($C$133=0,"2022/23","")</f>
        <v>2022/23</v>
      </c>
      <c r="H151" s="118"/>
      <c r="I151" s="118" t="str">
        <f>IF(C133=1,"","Overall 5 Year Split")</f>
        <v>Overall 5 Year Split</v>
      </c>
      <c r="J151" s="118"/>
    </row>
    <row r="152" spans="2:10" hidden="1" x14ac:dyDescent="0.2">
      <c r="B152" s="118" t="str">
        <f>IF($C$133=0,"Market Housing","")</f>
        <v>Market Housing</v>
      </c>
      <c r="C152" s="121">
        <f>IF($C$133=1,"",C149/SUM(C$149:C$150))</f>
        <v>0.5000552350558487</v>
      </c>
      <c r="D152" s="121">
        <f t="shared" ref="D152:G153" si="6">IF($C$133=1,"",D149/SUM(D$149:D$150))</f>
        <v>0.4873730230165873</v>
      </c>
      <c r="E152" s="121">
        <f t="shared" si="6"/>
        <v>0.48695427538103847</v>
      </c>
      <c r="F152" s="121">
        <f t="shared" si="6"/>
        <v>0.50022053418279833</v>
      </c>
      <c r="G152" s="121">
        <f t="shared" si="6"/>
        <v>0.49577600617204576</v>
      </c>
      <c r="H152" s="118"/>
      <c r="I152" s="121">
        <f>IF($C$133=1,"",SUM(C149:G149)/SUM($C$149:$G$150))</f>
        <v>0.49419770231031435</v>
      </c>
      <c r="J152" s="118"/>
    </row>
    <row r="153" spans="2:10" hidden="1" x14ac:dyDescent="0.2">
      <c r="B153" s="118" t="str">
        <f>IF($C$133=0,"Affordable","")</f>
        <v>Affordable</v>
      </c>
      <c r="C153" s="121">
        <f>IF($C$133=1,"",C150/SUM(C$149:C$150))</f>
        <v>0.4999447649441513</v>
      </c>
      <c r="D153" s="121">
        <f t="shared" si="6"/>
        <v>0.51262697698341264</v>
      </c>
      <c r="E153" s="121">
        <f t="shared" si="6"/>
        <v>0.51304572461896158</v>
      </c>
      <c r="F153" s="121">
        <f t="shared" si="6"/>
        <v>0.49977946581720173</v>
      </c>
      <c r="G153" s="121">
        <f t="shared" si="6"/>
        <v>0.50422399382795424</v>
      </c>
      <c r="H153" s="118"/>
      <c r="I153" s="121">
        <f>IF($C$133=1,"",SUM(C150:G150)/SUM($C$149:$G$150))</f>
        <v>0.50580229768968565</v>
      </c>
      <c r="J153" s="118"/>
    </row>
    <row r="154" spans="2:10" hidden="1" x14ac:dyDescent="0.2">
      <c r="C154" s="90"/>
      <c r="D154" s="90"/>
      <c r="E154" s="90"/>
      <c r="F154" s="90"/>
      <c r="G154" s="90"/>
      <c r="I154" s="90"/>
    </row>
    <row r="155" spans="2:10" hidden="1" x14ac:dyDescent="0.2">
      <c r="C155" s="90"/>
      <c r="D155" s="90"/>
      <c r="E155" s="90"/>
      <c r="F155" s="90"/>
      <c r="G155" s="90"/>
      <c r="I155" s="90"/>
    </row>
    <row r="156" spans="2:10" hidden="1" x14ac:dyDescent="0.2">
      <c r="B156" s="113" t="s">
        <v>117</v>
      </c>
      <c r="C156" s="114"/>
      <c r="D156" s="114"/>
      <c r="E156" s="114"/>
      <c r="F156" s="114"/>
      <c r="G156" s="114"/>
      <c r="H156" s="114"/>
      <c r="I156" s="114"/>
      <c r="J156" s="114"/>
    </row>
    <row r="157" spans="2:10" hidden="1" x14ac:dyDescent="0.2">
      <c r="B157" s="114" t="str">
        <f>IF(C145=1,"Please complete table to view estimates split into 4 tenures.","")</f>
        <v>Please complete table to view estimates split into 4 tenures.</v>
      </c>
      <c r="C157" s="114" t="str">
        <f>IF($C$145=0,"2018/19","")</f>
        <v/>
      </c>
      <c r="D157" s="114" t="str">
        <f>IF($C$145=0,"2019/20","")</f>
        <v/>
      </c>
      <c r="E157" s="114" t="str">
        <f>IF($C$145=0,"2020/21","")</f>
        <v/>
      </c>
      <c r="F157" s="114" t="str">
        <f>IF($C$145=0,"2021/22","")</f>
        <v/>
      </c>
      <c r="G157" s="114" t="str">
        <f>IF($C$145=0,"2022/23","")</f>
        <v/>
      </c>
      <c r="H157" s="114"/>
      <c r="I157" s="114"/>
      <c r="J157" s="114"/>
    </row>
    <row r="158" spans="2:10" hidden="1" x14ac:dyDescent="0.2">
      <c r="B158" s="114" t="str">
        <f>IF($C$145=0,"Owner Occupier","")</f>
        <v/>
      </c>
      <c r="C158" s="115" t="str">
        <f>IF($C$145=0,'Workings - North Wales'!C59,"")</f>
        <v/>
      </c>
      <c r="D158" s="115" t="str">
        <f>IF($C$145=0,'Workings - North Wales'!D59,"")</f>
        <v/>
      </c>
      <c r="E158" s="115" t="str">
        <f>IF($C$145=0,'Workings - North Wales'!E59,"")</f>
        <v/>
      </c>
      <c r="F158" s="115" t="str">
        <f>IF($C$145=0,'Workings - North Wales'!F59,"")</f>
        <v/>
      </c>
      <c r="G158" s="115" t="str">
        <f>IF($C$145=0,'Workings - North Wales'!G59,"")</f>
        <v/>
      </c>
      <c r="H158" s="114"/>
      <c r="I158" s="114"/>
      <c r="J158" s="114"/>
    </row>
    <row r="159" spans="2:10" hidden="1" x14ac:dyDescent="0.2">
      <c r="B159" s="114" t="str">
        <f>IF($C$145=0,"PRS","")</f>
        <v/>
      </c>
      <c r="C159" s="115" t="str">
        <f>IF($C$145=0,'Workings - North Wales'!C60,"")</f>
        <v/>
      </c>
      <c r="D159" s="115" t="str">
        <f>IF($C$145=0,'Workings - North Wales'!D60,"")</f>
        <v/>
      </c>
      <c r="E159" s="115" t="str">
        <f>IF($C$145=0,'Workings - North Wales'!E60,"")</f>
        <v/>
      </c>
      <c r="F159" s="115" t="str">
        <f>IF($C$145=0,'Workings - North Wales'!F60,"")</f>
        <v/>
      </c>
      <c r="G159" s="115" t="str">
        <f>IF($C$145=0,'Workings - North Wales'!G60,"")</f>
        <v/>
      </c>
      <c r="H159" s="114"/>
      <c r="I159" s="114"/>
      <c r="J159" s="114"/>
    </row>
    <row r="160" spans="2:10" hidden="1" x14ac:dyDescent="0.2">
      <c r="B160" s="114" t="str">
        <f>IF($C$145=0,"Social","")</f>
        <v/>
      </c>
      <c r="C160" s="115" t="str">
        <f>IF($C$145=0,'Workings - North Wales'!C61,"")</f>
        <v/>
      </c>
      <c r="D160" s="115" t="str">
        <f>IF($C$145=0,'Workings - North Wales'!D61,"")</f>
        <v/>
      </c>
      <c r="E160" s="115" t="str">
        <f>IF($C$145=0,'Workings - North Wales'!E61,"")</f>
        <v/>
      </c>
      <c r="F160" s="115" t="str">
        <f>IF($C$145=0,'Workings - North Wales'!F61,"")</f>
        <v/>
      </c>
      <c r="G160" s="115" t="str">
        <f>IF($C$145=0,'Workings - North Wales'!G61,"")</f>
        <v/>
      </c>
      <c r="H160" s="114"/>
      <c r="I160" s="114"/>
      <c r="J160" s="114"/>
    </row>
    <row r="161" spans="2:24" hidden="1" x14ac:dyDescent="0.2">
      <c r="B161" s="114" t="str">
        <f>IF($C$145=0,"Intermediate","")</f>
        <v/>
      </c>
      <c r="C161" s="115" t="str">
        <f>IF($C$145=0,'Workings - North Wales'!C62,"")</f>
        <v/>
      </c>
      <c r="D161" s="115" t="str">
        <f>IF($C$145=0,'Workings - North Wales'!D62,"")</f>
        <v/>
      </c>
      <c r="E161" s="115" t="str">
        <f>IF($C$145=0,'Workings - North Wales'!E62,"")</f>
        <v/>
      </c>
      <c r="F161" s="115" t="str">
        <f>IF($C$145=0,'Workings - North Wales'!F62,"")</f>
        <v/>
      </c>
      <c r="G161" s="115" t="str">
        <f>IF($C$145=0,'Workings - North Wales'!G62,"")</f>
        <v/>
      </c>
      <c r="H161" s="114"/>
      <c r="I161" s="114"/>
      <c r="J161" s="114"/>
    </row>
    <row r="162" spans="2:24" hidden="1" x14ac:dyDescent="0.2">
      <c r="B162" s="114" t="str">
        <f>IF(C145=1,"Please complete table to view estimates split into 4 tenures.","")</f>
        <v>Please complete table to view estimates split into 4 tenures.</v>
      </c>
      <c r="C162" s="114" t="str">
        <f>IF($C$145=0,"2018/19","")</f>
        <v/>
      </c>
      <c r="D162" s="114" t="str">
        <f>IF($C$145=0,"2019/20","")</f>
        <v/>
      </c>
      <c r="E162" s="114" t="str">
        <f>IF($C$145=0,"2020/21","")</f>
        <v/>
      </c>
      <c r="F162" s="114" t="str">
        <f>IF($C$145=0,"2021/22","")</f>
        <v/>
      </c>
      <c r="G162" s="114" t="str">
        <f>IF($C$145=0,"2022/23","")</f>
        <v/>
      </c>
      <c r="H162" s="114"/>
      <c r="I162" s="114" t="str">
        <f>IF(C145=1,"","Overall 5 Year Split")</f>
        <v/>
      </c>
      <c r="J162" s="114"/>
    </row>
    <row r="163" spans="2:24" hidden="1" x14ac:dyDescent="0.2">
      <c r="B163" s="114" t="str">
        <f>IF($C$145=0,"Owner Occupier","")</f>
        <v/>
      </c>
      <c r="C163" s="116" t="str">
        <f>IF($C$145=1,"",C158/SUM(C$158:C$161))</f>
        <v/>
      </c>
      <c r="D163" s="116" t="str">
        <f t="shared" ref="D163:G163" si="7">IF($C$145=1,"",D158/SUM(D$158:D$161))</f>
        <v/>
      </c>
      <c r="E163" s="116" t="str">
        <f t="shared" si="7"/>
        <v/>
      </c>
      <c r="F163" s="116" t="str">
        <f t="shared" si="7"/>
        <v/>
      </c>
      <c r="G163" s="116" t="str">
        <f t="shared" si="7"/>
        <v/>
      </c>
      <c r="H163" s="114"/>
      <c r="I163" s="116" t="str">
        <f>IF($C$145=1,"",SUM(C158:G158)/SUM($C$158:$G$161))</f>
        <v/>
      </c>
      <c r="J163" s="114"/>
    </row>
    <row r="164" spans="2:24" hidden="1" x14ac:dyDescent="0.2">
      <c r="B164" s="114" t="str">
        <f>IF($C$145=0,"PRS","")</f>
        <v/>
      </c>
      <c r="C164" s="116" t="str">
        <f t="shared" ref="C164:G166" si="8">IF($C$145=1,"",C159/SUM(C$158:C$161))</f>
        <v/>
      </c>
      <c r="D164" s="116" t="str">
        <f t="shared" si="8"/>
        <v/>
      </c>
      <c r="E164" s="116" t="str">
        <f t="shared" si="8"/>
        <v/>
      </c>
      <c r="F164" s="116" t="str">
        <f t="shared" si="8"/>
        <v/>
      </c>
      <c r="G164" s="116" t="str">
        <f t="shared" si="8"/>
        <v/>
      </c>
      <c r="H164" s="114"/>
      <c r="I164" s="116" t="str">
        <f t="shared" ref="I164:I166" si="9">IF($C$145=1,"",SUM(C159:G159)/SUM($C$158:$G$161))</f>
        <v/>
      </c>
      <c r="J164" s="114"/>
    </row>
    <row r="165" spans="2:24" hidden="1" x14ac:dyDescent="0.2">
      <c r="B165" s="114" t="str">
        <f>IF($C$145=0,"Social","")</f>
        <v/>
      </c>
      <c r="C165" s="116" t="str">
        <f t="shared" si="8"/>
        <v/>
      </c>
      <c r="D165" s="116" t="str">
        <f t="shared" si="8"/>
        <v/>
      </c>
      <c r="E165" s="116" t="str">
        <f t="shared" si="8"/>
        <v/>
      </c>
      <c r="F165" s="116" t="str">
        <f t="shared" si="8"/>
        <v/>
      </c>
      <c r="G165" s="116" t="str">
        <f t="shared" si="8"/>
        <v/>
      </c>
      <c r="H165" s="114"/>
      <c r="I165" s="116" t="str">
        <f t="shared" si="9"/>
        <v/>
      </c>
      <c r="J165" s="114"/>
    </row>
    <row r="166" spans="2:24" hidden="1" x14ac:dyDescent="0.2">
      <c r="B166" s="114" t="str">
        <f>IF($C$145=0,"Intermediate","")</f>
        <v/>
      </c>
      <c r="C166" s="116" t="str">
        <f>IF($C$145=1,"",C161/SUM(C$158:C$161))</f>
        <v/>
      </c>
      <c r="D166" s="116" t="str">
        <f t="shared" si="8"/>
        <v/>
      </c>
      <c r="E166" s="116" t="str">
        <f t="shared" si="8"/>
        <v/>
      </c>
      <c r="F166" s="116" t="str">
        <f t="shared" si="8"/>
        <v/>
      </c>
      <c r="G166" s="116" t="str">
        <f t="shared" si="8"/>
        <v/>
      </c>
      <c r="H166" s="114"/>
      <c r="I166" s="116" t="str">
        <f t="shared" si="9"/>
        <v/>
      </c>
      <c r="J166" s="114"/>
    </row>
    <row r="167" spans="2:24" hidden="1" x14ac:dyDescent="0.2">
      <c r="C167" s="90"/>
      <c r="D167" s="90"/>
      <c r="E167" s="90"/>
      <c r="F167" s="90"/>
      <c r="G167" s="90"/>
      <c r="I167" s="90"/>
    </row>
    <row r="168" spans="2:24" hidden="1" x14ac:dyDescent="0.2">
      <c r="B168" s="74" t="s">
        <v>93</v>
      </c>
      <c r="C168" s="90"/>
      <c r="D168" s="90"/>
      <c r="E168" s="90"/>
      <c r="F168" s="90"/>
      <c r="G168" s="90"/>
      <c r="I168" s="90"/>
    </row>
    <row r="169" spans="2:24" hidden="1" x14ac:dyDescent="0.2">
      <c r="C169" s="90" t="str">
        <f>"The below figures split the estimates of housing need for "&amp;D1&amp;" into two tenures and are based on the following assumptions."</f>
        <v>The below figures split the estimates of housing need for North Wales into two tenures and are based on the following assumptions.</v>
      </c>
      <c r="D169" s="90" t="str">
        <f>"Following on from above, the estimates for "&amp;D1&amp;" are further split into four tenures. These estimates are produced by the user and are based on the following assumptions."</f>
        <v>Following on from above, the estimates for North Wales are further split into four tenures. These estimates are produced by the user and are based on the following assumptions.</v>
      </c>
      <c r="E169" s="90" t="s">
        <v>98</v>
      </c>
      <c r="F169" s="90" t="s">
        <v>101</v>
      </c>
      <c r="G169" s="90" t="s">
        <v>99</v>
      </c>
      <c r="H169" s="90" t="s">
        <v>127</v>
      </c>
      <c r="I169" s="90" t="s">
        <v>100</v>
      </c>
      <c r="J169" s="75" t="e">
        <f>". First time buyers have an affordability ratio of "&amp;C175&amp;" and can enter the housing market at the "&amp;C176&amp;" percentile of the house price distribution. "&amp;C177</f>
        <v>#VALUE!</v>
      </c>
    </row>
    <row r="170" spans="2:24" hidden="1" x14ac:dyDescent="0.2">
      <c r="B170" s="75" t="s">
        <v>52</v>
      </c>
      <c r="C170" s="90" t="str">
        <f>IF(D6="User Projections","user's own household projections,","Welsh Government's "&amp;D6&amp;" 2014-based household projections")</f>
        <v>Welsh Government's Principal 2014-based household projections</v>
      </c>
      <c r="D170" s="90"/>
      <c r="E170" s="90"/>
      <c r="F170" s="90"/>
      <c r="G170" s="90"/>
      <c r="I170" s="90"/>
    </row>
    <row r="171" spans="2:24" ht="15" hidden="1" customHeight="1" x14ac:dyDescent="0.2">
      <c r="B171" s="75" t="s">
        <v>23</v>
      </c>
      <c r="C171" s="91" t="str">
        <f>IF(D7="WG Estimates",'Existing Unmet Need'!C9,'Existing Unmet Need'!C18)&amp;" households in existing unmet need"</f>
        <v>1242 households in existing unmet need</v>
      </c>
      <c r="D171" s="90"/>
      <c r="E171" s="90"/>
      <c r="F171" s="90"/>
      <c r="G171" s="90"/>
      <c r="J171" s="92"/>
      <c r="K171" s="92"/>
      <c r="L171" s="92"/>
      <c r="M171" s="92"/>
      <c r="N171" s="92"/>
      <c r="O171" s="92"/>
      <c r="P171" s="92"/>
      <c r="R171" s="92"/>
      <c r="S171" s="92"/>
      <c r="T171" s="92"/>
      <c r="U171" s="92"/>
      <c r="V171" s="92"/>
      <c r="W171" s="92"/>
      <c r="X171" s="92"/>
    </row>
    <row r="172" spans="2:24" hidden="1" x14ac:dyDescent="0.2">
      <c r="B172" s="75" t="s">
        <v>53</v>
      </c>
      <c r="C172" s="90" t="str">
        <f>IF(D8="Other", " user's own estimates "," Welsh Government estimates ")</f>
        <v xml:space="preserve"> Welsh Government estimates </v>
      </c>
      <c r="D172" s="90"/>
      <c r="E172" s="90"/>
      <c r="F172" s="90"/>
      <c r="G172" s="90"/>
      <c r="I172" s="92"/>
      <c r="J172" s="92"/>
      <c r="K172" s="92"/>
      <c r="L172" s="92"/>
      <c r="M172" s="92"/>
      <c r="N172" s="92"/>
      <c r="O172" s="92"/>
      <c r="P172" s="92"/>
      <c r="R172" s="92"/>
      <c r="S172" s="92"/>
      <c r="T172" s="92"/>
      <c r="U172" s="92"/>
      <c r="V172" s="92"/>
      <c r="W172" s="92"/>
      <c r="X172" s="92"/>
    </row>
    <row r="173" spans="2:24" hidden="1" x14ac:dyDescent="0.2">
      <c r="B173" s="75" t="s">
        <v>54</v>
      </c>
      <c r="C173" s="90" t="str">
        <f>IF(D18="Other", " user's own estimates"," Land Registry data")</f>
        <v xml:space="preserve"> Land Registry data</v>
      </c>
      <c r="D173" s="90"/>
      <c r="E173" s="90"/>
      <c r="F173" s="90"/>
      <c r="G173" s="90"/>
      <c r="I173" s="92"/>
      <c r="J173" s="92"/>
      <c r="K173" s="92"/>
      <c r="L173" s="92"/>
      <c r="M173" s="92"/>
      <c r="N173" s="92"/>
      <c r="O173" s="92"/>
      <c r="P173" s="92"/>
      <c r="R173" s="92"/>
      <c r="S173" s="92"/>
      <c r="T173" s="92"/>
      <c r="U173" s="92"/>
      <c r="V173" s="92"/>
      <c r="W173" s="92"/>
      <c r="X173" s="92"/>
    </row>
    <row r="174" spans="2:24" hidden="1" x14ac:dyDescent="0.2">
      <c r="B174" s="75" t="s">
        <v>21</v>
      </c>
      <c r="C174" s="90" t="str">
        <f>IF(D9="Other", " user's own estimates"," Welsh Government data")</f>
        <v xml:space="preserve"> Welsh Government data</v>
      </c>
      <c r="D174" s="90"/>
      <c r="E174" s="90"/>
      <c r="F174" s="90"/>
      <c r="G174" s="90"/>
      <c r="I174" s="92"/>
      <c r="J174" s="92"/>
      <c r="K174" s="92"/>
      <c r="L174" s="92"/>
      <c r="M174" s="92"/>
      <c r="N174" s="92"/>
      <c r="O174" s="92"/>
      <c r="P174" s="92"/>
      <c r="R174" s="92"/>
      <c r="S174" s="92"/>
      <c r="T174" s="92"/>
      <c r="U174" s="92"/>
      <c r="V174" s="92"/>
      <c r="W174" s="92"/>
      <c r="X174" s="92"/>
    </row>
    <row r="175" spans="2:24" hidden="1" x14ac:dyDescent="0.2">
      <c r="B175" s="75" t="s">
        <v>16</v>
      </c>
      <c r="C175" s="93">
        <f>C114</f>
        <v>3.8</v>
      </c>
      <c r="D175" s="90"/>
      <c r="E175" s="90"/>
      <c r="F175" s="90"/>
      <c r="G175" s="90"/>
      <c r="I175" s="92"/>
      <c r="J175" s="92"/>
      <c r="K175" s="92"/>
      <c r="L175" s="92"/>
      <c r="M175" s="92"/>
      <c r="N175" s="92"/>
      <c r="O175" s="92"/>
      <c r="P175" s="92"/>
      <c r="R175" s="92"/>
      <c r="S175" s="92"/>
      <c r="T175" s="92"/>
      <c r="U175" s="92"/>
      <c r="V175" s="92"/>
      <c r="W175" s="92"/>
      <c r="X175" s="92"/>
    </row>
    <row r="176" spans="2:24" hidden="1" x14ac:dyDescent="0.2">
      <c r="B176" s="75" t="s">
        <v>22</v>
      </c>
      <c r="C176" s="93">
        <f>C115</f>
        <v>25</v>
      </c>
      <c r="D176" s="90"/>
      <c r="E176" s="90"/>
      <c r="F176" s="90"/>
      <c r="G176" s="90"/>
      <c r="I176" s="92"/>
      <c r="J176" s="92"/>
      <c r="K176" s="92"/>
      <c r="L176" s="92"/>
      <c r="M176" s="92"/>
      <c r="N176" s="92"/>
      <c r="O176" s="92"/>
      <c r="P176" s="92"/>
      <c r="R176" s="92"/>
      <c r="S176" s="92"/>
      <c r="T176" s="92"/>
      <c r="U176" s="92"/>
      <c r="V176" s="92"/>
      <c r="W176" s="92"/>
      <c r="X176" s="92"/>
    </row>
    <row r="177" spans="2:23" hidden="1" x14ac:dyDescent="0.2">
      <c r="B177" s="75" t="s">
        <v>17</v>
      </c>
      <c r="C177" s="90" t="e">
        <f>C116*100&amp;"% of potential first time buyers go on to buy a property. "</f>
        <v>#VALUE!</v>
      </c>
      <c r="D177" s="90"/>
      <c r="E177" s="90"/>
      <c r="F177" s="90"/>
      <c r="G177" s="90"/>
      <c r="I177" s="92"/>
      <c r="J177" s="92"/>
      <c r="K177" s="92"/>
      <c r="L177" s="92"/>
      <c r="M177" s="92"/>
      <c r="N177" s="92"/>
      <c r="O177" s="92"/>
      <c r="P177" s="92"/>
      <c r="R177" s="92"/>
      <c r="S177" s="92"/>
      <c r="T177" s="92"/>
      <c r="U177" s="92"/>
      <c r="V177" s="92"/>
      <c r="W177" s="92"/>
    </row>
    <row r="178" spans="2:23" hidden="1" x14ac:dyDescent="0.2">
      <c r="B178" s="75" t="s">
        <v>18</v>
      </c>
      <c r="C178" s="90" t="str">
        <f>"Households that spend "&amp;C108*100&amp;"% or less of household income on median private rent can afford private rent,"</f>
        <v>Households that spend 30% or less of household income on median private rent can afford private rent,</v>
      </c>
      <c r="D178" s="90"/>
      <c r="E178" s="90"/>
      <c r="F178" s="90"/>
      <c r="G178" s="90"/>
      <c r="I178" s="90"/>
    </row>
    <row r="179" spans="2:23" hidden="1" x14ac:dyDescent="0.2">
      <c r="B179" s="75" t="s">
        <v>19</v>
      </c>
      <c r="C179" s="90" t="str">
        <f>"Households that spend "&amp;C117*100&amp;"% or more of household income on 30th percentile private rent are suitable for social housing."</f>
        <v>Households that spend 35% or more of household income on 30th percentile private rent are suitable for social housing.</v>
      </c>
      <c r="D179" s="90"/>
      <c r="E179" s="90"/>
      <c r="F179" s="90"/>
      <c r="G179" s="90"/>
      <c r="I179" s="90"/>
    </row>
    <row r="180" spans="2:23" hidden="1" x14ac:dyDescent="0.2">
      <c r="B180" s="75" t="s">
        <v>55</v>
      </c>
      <c r="C180" s="90" t="str">
        <f>" which will take "&amp;'Existing Unmet Need'!C28&amp;" years to clear."</f>
        <v xml:space="preserve"> which will take 5 years to clear.</v>
      </c>
      <c r="D180" s="90"/>
      <c r="E180" s="90"/>
      <c r="F180" s="90"/>
      <c r="G180" s="90"/>
      <c r="I180" s="90"/>
    </row>
    <row r="181" spans="2:23" hidden="1" x14ac:dyDescent="0.2">
      <c r="B181" s="75" t="s">
        <v>57</v>
      </c>
      <c r="C181" s="90" t="str">
        <f>". The yearly change to median household income is based on "&amp;IF(D14="Other","users estimates","the default estimates")</f>
        <v>. The yearly change to median household income is based on the default estimates</v>
      </c>
      <c r="D181" s="90"/>
      <c r="E181" s="90"/>
      <c r="F181" s="90"/>
      <c r="G181" s="90"/>
      <c r="I181" s="90"/>
    </row>
    <row r="182" spans="2:23" hidden="1" x14ac:dyDescent="0.2">
      <c r="B182" s="75" t="s">
        <v>58</v>
      </c>
      <c r="C182" s="90" t="str">
        <f>", the yearly change to the distribution of household income is based on "&amp;IF(D15="Other","users estimates","the default estimates")</f>
        <v>, the yearly change to the distribution of household income is based on the default estimates</v>
      </c>
      <c r="D182" s="90"/>
      <c r="E182" s="90"/>
      <c r="F182" s="90"/>
      <c r="G182" s="90"/>
      <c r="I182" s="90"/>
    </row>
    <row r="183" spans="2:23" hidden="1" x14ac:dyDescent="0.2">
      <c r="B183" s="75" t="s">
        <v>59</v>
      </c>
      <c r="C183" s="90" t="str">
        <f>", the yearly change to house prices is based on "&amp;IF(D25="Other","users estimates","the default estimates")</f>
        <v>, the yearly change to house prices is based on the default estimates</v>
      </c>
      <c r="D183" s="90"/>
      <c r="E183" s="90"/>
      <c r="F183" s="90"/>
      <c r="G183" s="90"/>
      <c r="I183" s="90"/>
    </row>
    <row r="184" spans="2:23" hidden="1" x14ac:dyDescent="0.2">
      <c r="B184" s="75" t="s">
        <v>60</v>
      </c>
      <c r="C184" s="90" t="str">
        <f>" and the yearly change to rental prices is based on "&amp;IF(D16="Other","users estimates","the default estimates.")</f>
        <v xml:space="preserve"> and the yearly change to rental prices is based on the default estimates.</v>
      </c>
      <c r="D184" s="90"/>
      <c r="E184" s="90"/>
      <c r="F184" s="90"/>
      <c r="G184" s="90"/>
      <c r="I184" s="90"/>
    </row>
    <row r="185" spans="2:23" hidden="1" x14ac:dyDescent="0.2">
      <c r="C185" s="90"/>
      <c r="D185" s="90"/>
      <c r="E185" s="90"/>
      <c r="F185" s="90"/>
      <c r="G185" s="90"/>
      <c r="I185" s="90"/>
    </row>
    <row r="186" spans="2:23" hidden="1" x14ac:dyDescent="0.2">
      <c r="B186" s="74" t="s">
        <v>125</v>
      </c>
      <c r="C186" s="90"/>
      <c r="D186" s="90"/>
      <c r="E186" s="90"/>
      <c r="F186" s="90"/>
      <c r="G186" s="90"/>
      <c r="I186" s="90"/>
    </row>
    <row r="187" spans="2:23" hidden="1" x14ac:dyDescent="0.2">
      <c r="B187" s="94" t="str">
        <f>C169&amp;E169&amp;C170&amp;F169&amp;C171&amp;C180&amp;H169&amp;C172&amp;I169&amp;C174&amp;C181&amp;C182&amp;C184</f>
        <v>The below figures split the estimates of housing need for North Wales into two tenures and are based on the following assumptions. The underlying estimates of additional housing units are based on Welsh Government's Principal 2014-based household projections, and an estimate of 1242 households in existing unmet need which will take 5 years to clear. Income data is based on Welsh Government estimates and private rental data is based on Welsh Government data. The yearly change to median household income is based on the default estimates, the yearly change to the distribution of household income is based on the default estimates and the yearly change to rental prices is based on the default estimates.</v>
      </c>
      <c r="C187" s="90"/>
      <c r="D187" s="90"/>
      <c r="E187" s="90"/>
      <c r="F187" s="90"/>
      <c r="G187" s="90"/>
      <c r="I187" s="90"/>
    </row>
    <row r="188" spans="2:23" hidden="1" x14ac:dyDescent="0.2">
      <c r="B188" s="74" t="str">
        <f>IF(C133=1,"Estimates will not appear below until the above table is complete.",B187)</f>
        <v>The below figures split the estimates of housing need for North Wales into two tenures and are based on the following assumptions. The underlying estimates of additional housing units are based on Welsh Government's Principal 2014-based household projections, and an estimate of 1242 households in existing unmet need which will take 5 years to clear. Income data is based on Welsh Government estimates and private rental data is based on Welsh Government data. The yearly change to median household income is based on the default estimates, the yearly change to the distribution of household income is based on the default estimates and the yearly change to rental prices is based on the default estimates.</v>
      </c>
      <c r="C188" s="90"/>
      <c r="D188" s="90"/>
      <c r="E188" s="90"/>
      <c r="F188" s="90"/>
      <c r="G188" s="90"/>
      <c r="I188" s="90"/>
    </row>
    <row r="189" spans="2:23" hidden="1" x14ac:dyDescent="0.2">
      <c r="B189" s="74"/>
      <c r="C189" s="90"/>
      <c r="D189" s="90"/>
      <c r="E189" s="90"/>
      <c r="F189" s="90"/>
      <c r="G189" s="90"/>
      <c r="I189" s="90"/>
    </row>
    <row r="190" spans="2:23" hidden="1" x14ac:dyDescent="0.2">
      <c r="B190" s="74" t="s">
        <v>129</v>
      </c>
      <c r="C190" s="90"/>
      <c r="D190" s="90"/>
      <c r="E190" s="90"/>
      <c r="F190" s="90"/>
      <c r="G190" s="90"/>
      <c r="I190" s="90"/>
    </row>
    <row r="191" spans="2:23" hidden="1" x14ac:dyDescent="0.2">
      <c r="B191" s="75" t="e">
        <f>D169&amp;G169&amp;C173&amp;C183&amp;J169&amp;C179</f>
        <v>#VALUE!</v>
      </c>
      <c r="C191" s="90"/>
      <c r="D191" s="90"/>
      <c r="E191" s="90"/>
      <c r="F191" s="90"/>
      <c r="G191" s="90"/>
      <c r="I191" s="90"/>
    </row>
    <row r="192" spans="2:23" hidden="1" x14ac:dyDescent="0.2">
      <c r="B192" s="74" t="str">
        <f>IF(C145=1,"Estimates split into 4 tenures will not appear below until the above table is complete.",B191)</f>
        <v>Estimates split into 4 tenures will not appear below until the above table is complete.</v>
      </c>
      <c r="C192" s="90"/>
      <c r="D192" s="90"/>
      <c r="E192" s="90"/>
      <c r="F192" s="90"/>
      <c r="G192" s="90"/>
      <c r="I192" s="90"/>
    </row>
    <row r="193" spans="2:9" hidden="1" x14ac:dyDescent="0.2">
      <c r="C193" s="90"/>
      <c r="D193" s="90"/>
      <c r="E193" s="90"/>
      <c r="F193" s="90"/>
      <c r="G193" s="90"/>
      <c r="I193" s="90"/>
    </row>
    <row r="194" spans="2:9" hidden="1" x14ac:dyDescent="0.2">
      <c r="B194" s="75" t="s">
        <v>136</v>
      </c>
      <c r="I194" s="90"/>
    </row>
    <row r="195" spans="2:9" hidden="1" x14ac:dyDescent="0.2">
      <c r="B195" s="75" t="s">
        <v>94</v>
      </c>
      <c r="I195" s="90"/>
    </row>
    <row r="196" spans="2:9" hidden="1" x14ac:dyDescent="0.2">
      <c r="B196" s="75" t="s">
        <v>95</v>
      </c>
      <c r="I196" s="90"/>
    </row>
    <row r="197" spans="2:9" hidden="1" x14ac:dyDescent="0.2">
      <c r="B197" s="75" t="s">
        <v>96</v>
      </c>
      <c r="I197" s="90"/>
    </row>
    <row r="198" spans="2:9" hidden="1" x14ac:dyDescent="0.2">
      <c r="B198" s="77" t="str">
        <f>"'Household Projections'"</f>
        <v>'Household Projections'</v>
      </c>
      <c r="I198" s="90"/>
    </row>
    <row r="199" spans="2:9" hidden="1" x14ac:dyDescent="0.2">
      <c r="B199" s="75" t="str">
        <f>"'Existing Unmet Need'"</f>
        <v>'Existing Unmet Need'</v>
      </c>
      <c r="I199" s="90"/>
    </row>
    <row r="200" spans="2:9" hidden="1" x14ac:dyDescent="0.2">
      <c r="B200" s="75" t="str">
        <f>"'Income (North Wales)'"</f>
        <v>'Income (North Wales)'</v>
      </c>
      <c r="I200" s="90"/>
    </row>
    <row r="201" spans="2:9" hidden="1" x14ac:dyDescent="0.2">
      <c r="B201" s="75" t="str">
        <f>"'House Prices (North Wales)'"</f>
        <v>'House Prices (North Wales)'</v>
      </c>
      <c r="I201" s="90"/>
    </row>
    <row r="202" spans="2:9" hidden="1" x14ac:dyDescent="0.2">
      <c r="B202" s="75" t="str">
        <f>"'Rental Prices'"</f>
        <v>'Rental Prices'</v>
      </c>
      <c r="I202" s="90"/>
    </row>
    <row r="203" spans="2:9" hidden="1" x14ac:dyDescent="0.2">
      <c r="B203" s="75" t="str">
        <f>"'Set Yearly Assumptions'"</f>
        <v>'Set Yearly Assumptions'</v>
      </c>
      <c r="I203" s="90"/>
    </row>
    <row r="204" spans="2:9" hidden="1" x14ac:dyDescent="0.2">
      <c r="B204" s="75" t="str">
        <f>"'Future Forecasts'"</f>
        <v>'Future Forecasts'</v>
      </c>
      <c r="I204" s="90"/>
    </row>
    <row r="205" spans="2:9" x14ac:dyDescent="0.2">
      <c r="I205" s="90"/>
    </row>
    <row r="206" spans="2:9" x14ac:dyDescent="0.2">
      <c r="I206" s="90"/>
    </row>
    <row r="207" spans="2:9" x14ac:dyDescent="0.2">
      <c r="I207" s="90"/>
    </row>
  </sheetData>
  <sheetProtection sheet="1" objects="1" scenarios="1"/>
  <mergeCells count="33">
    <mergeCell ref="F4:I4"/>
    <mergeCell ref="B2:I2"/>
    <mergeCell ref="B1:C1"/>
    <mergeCell ref="I103:J103"/>
    <mergeCell ref="F15:I15"/>
    <mergeCell ref="F16:I16"/>
    <mergeCell ref="B17:B25"/>
    <mergeCell ref="F17:I17"/>
    <mergeCell ref="F18:I18"/>
    <mergeCell ref="B5:B16"/>
    <mergeCell ref="F5:I5"/>
    <mergeCell ref="F6:I6"/>
    <mergeCell ref="F7:I7"/>
    <mergeCell ref="F8:I8"/>
    <mergeCell ref="F9:I9"/>
    <mergeCell ref="F23:I23"/>
    <mergeCell ref="I104:J104"/>
    <mergeCell ref="B28:J32"/>
    <mergeCell ref="I62:J62"/>
    <mergeCell ref="I63:J63"/>
    <mergeCell ref="B66:J69"/>
    <mergeCell ref="I101:J101"/>
    <mergeCell ref="I102:J102"/>
    <mergeCell ref="I61:J61"/>
    <mergeCell ref="I99:J99"/>
    <mergeCell ref="B52:J53"/>
    <mergeCell ref="F25:I25"/>
    <mergeCell ref="F11:I11"/>
    <mergeCell ref="F12:I12"/>
    <mergeCell ref="F14:I14"/>
    <mergeCell ref="F21:I21"/>
    <mergeCell ref="F22:I22"/>
    <mergeCell ref="F20:I20"/>
  </mergeCells>
  <conditionalFormatting sqref="E6:E9 E11:E12 E14:E16 E25:E27 E18 E20:E23">
    <cfRule type="expression" dxfId="15" priority="4">
      <formula>E6="Y"</formula>
    </cfRule>
  </conditionalFormatting>
  <conditionalFormatting sqref="E6:E12 E14:E16 E18 E20:E27">
    <cfRule type="expression" dxfId="14" priority="3">
      <formula>E6="N"</formula>
    </cfRule>
  </conditionalFormatting>
  <conditionalFormatting sqref="E13">
    <cfRule type="expression" dxfId="13" priority="2">
      <formula>E13="N"</formula>
    </cfRule>
  </conditionalFormatting>
  <conditionalFormatting sqref="E19">
    <cfRule type="expression" dxfId="12" priority="1">
      <formula>E19="N"</formula>
    </cfRule>
  </conditionalFormatting>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X207"/>
  <sheetViews>
    <sheetView showGridLines="0" zoomScale="90" zoomScaleNormal="90" workbookViewId="0"/>
  </sheetViews>
  <sheetFormatPr defaultColWidth="9.140625" defaultRowHeight="12.75" x14ac:dyDescent="0.2"/>
  <cols>
    <col min="1" max="1" width="4.5703125" style="75" customWidth="1"/>
    <col min="2" max="2" width="18.42578125" style="75" customWidth="1"/>
    <col min="3" max="3" width="25.7109375" style="75" customWidth="1"/>
    <col min="4" max="4" width="20.5703125" style="75" customWidth="1"/>
    <col min="5" max="5" width="18.42578125" style="75" customWidth="1"/>
    <col min="6" max="6" width="15.5703125" style="75" customWidth="1"/>
    <col min="7" max="7" width="12.85546875" style="75" customWidth="1"/>
    <col min="8" max="14" width="13" style="75" customWidth="1"/>
    <col min="15" max="16384" width="9.140625" style="75"/>
  </cols>
  <sheetData>
    <row r="1" spans="1:11" ht="26.25" customHeight="1" x14ac:dyDescent="0.2">
      <c r="B1" s="361" t="s">
        <v>142</v>
      </c>
      <c r="C1" s="361"/>
      <c r="D1" s="105" t="s">
        <v>137</v>
      </c>
    </row>
    <row r="2" spans="1:11" ht="27" customHeight="1" x14ac:dyDescent="0.2">
      <c r="B2" s="388" t="s">
        <v>141</v>
      </c>
      <c r="C2" s="389"/>
      <c r="D2" s="389"/>
      <c r="E2" s="389"/>
      <c r="F2" s="389"/>
      <c r="G2" s="389"/>
      <c r="H2" s="389"/>
      <c r="I2" s="390"/>
    </row>
    <row r="4" spans="1:11" ht="30.75" customHeight="1" x14ac:dyDescent="0.25">
      <c r="C4" s="95" t="s">
        <v>42</v>
      </c>
      <c r="D4" s="104" t="s">
        <v>43</v>
      </c>
      <c r="E4" s="147" t="s">
        <v>97</v>
      </c>
      <c r="F4" s="371" t="s">
        <v>135</v>
      </c>
      <c r="G4" s="371"/>
      <c r="H4" s="371"/>
      <c r="I4" s="372"/>
      <c r="K4" s="72" t="s">
        <v>104</v>
      </c>
    </row>
    <row r="5" spans="1:11" ht="24.75" customHeight="1" x14ac:dyDescent="0.2">
      <c r="B5" s="377" t="s">
        <v>164</v>
      </c>
      <c r="C5" s="130" t="s">
        <v>107</v>
      </c>
      <c r="D5" s="131"/>
      <c r="E5" s="132"/>
      <c r="F5" s="373"/>
      <c r="G5" s="373"/>
      <c r="H5" s="373"/>
      <c r="I5" s="374"/>
    </row>
    <row r="6" spans="1:11" ht="15" customHeight="1" x14ac:dyDescent="0.2">
      <c r="A6" s="108"/>
      <c r="B6" s="378"/>
      <c r="C6" s="133" t="s">
        <v>52</v>
      </c>
      <c r="D6" s="134" t="str">
        <f>'Tenure Split (WALES)'!D6</f>
        <v>Principal</v>
      </c>
      <c r="E6" s="135" t="str">
        <f>IF(OR(F6=$B$195,F6=$B$196),"Y","N")</f>
        <v>Y</v>
      </c>
      <c r="F6" s="375" t="str">
        <f>IF(D6="",B194,IF(D6="Other",IF('Household Projections'!J24=0,B197&amp;B198,B196),B195))</f>
        <v>Default data used</v>
      </c>
      <c r="G6" s="375"/>
      <c r="H6" s="375"/>
      <c r="I6" s="365"/>
    </row>
    <row r="7" spans="1:11" ht="15" customHeight="1" x14ac:dyDescent="0.2">
      <c r="A7" s="108"/>
      <c r="B7" s="378"/>
      <c r="C7" s="133" t="s">
        <v>23</v>
      </c>
      <c r="D7" s="134" t="str">
        <f>'Tenure Split (WALES)'!D7</f>
        <v>WG Estimates</v>
      </c>
      <c r="E7" s="135" t="str">
        <f>IF(OR(F7=$B$195,F7=$B$196),"Y","N")</f>
        <v>Y</v>
      </c>
      <c r="F7" s="365" t="str">
        <f>IF(D7="",B194,IF(D7="Other",IF(ISBLANK('Existing Unmet Need'!C19),B197&amp;B199,B196),B195))</f>
        <v>Default data used</v>
      </c>
      <c r="G7" s="365"/>
      <c r="H7" s="365"/>
      <c r="I7" s="365"/>
    </row>
    <row r="8" spans="1:11" ht="15" customHeight="1" x14ac:dyDescent="0.2">
      <c r="A8" s="108"/>
      <c r="B8" s="378"/>
      <c r="C8" s="133" t="s">
        <v>157</v>
      </c>
      <c r="D8" s="134" t="str">
        <f>'Tenure Split (WALES)'!D8</f>
        <v>WG Estimates</v>
      </c>
      <c r="E8" s="135" t="str">
        <f>IF(OR(F8=$B$195,F8=$B$196),"Y","N")</f>
        <v>Y</v>
      </c>
      <c r="F8" s="365" t="str">
        <f>IF(D8="",B194,IF(D8="Other",IF('Income (Mid and SW Wales)'!N85=0,B196,B197&amp;B200),B195))</f>
        <v>Default data used</v>
      </c>
      <c r="G8" s="365"/>
      <c r="H8" s="365"/>
      <c r="I8" s="365"/>
    </row>
    <row r="9" spans="1:11" ht="15" customHeight="1" x14ac:dyDescent="0.2">
      <c r="A9" s="108"/>
      <c r="B9" s="378"/>
      <c r="C9" s="133" t="s">
        <v>158</v>
      </c>
      <c r="D9" s="134" t="str">
        <f>'Tenure Split (WALES)'!D9</f>
        <v>WG Rent Data</v>
      </c>
      <c r="E9" s="135" t="str">
        <f>IF(OR(F9=$B$195,F9=$B$196),"Y","N")</f>
        <v>Y</v>
      </c>
      <c r="F9" s="375" t="str">
        <f>IF(D9="",B194,IF(D9="Other",IF(OR(ISBLANK('Rental Prices'!C20),ISBLANK('Rental Prices'!D20)),B197&amp;B202,B196),B195))</f>
        <v>Default data used</v>
      </c>
      <c r="G9" s="375"/>
      <c r="H9" s="375"/>
      <c r="I9" s="365"/>
    </row>
    <row r="10" spans="1:11" ht="24.75" customHeight="1" x14ac:dyDescent="0.2">
      <c r="A10" s="108"/>
      <c r="B10" s="378"/>
      <c r="C10" s="130" t="s">
        <v>299</v>
      </c>
      <c r="D10" s="131"/>
      <c r="E10" s="136"/>
      <c r="F10" s="131"/>
      <c r="G10" s="137"/>
      <c r="H10" s="131"/>
      <c r="I10" s="138"/>
    </row>
    <row r="11" spans="1:11" ht="13.5" customHeight="1" x14ac:dyDescent="0.2">
      <c r="A11" s="108"/>
      <c r="B11" s="378"/>
      <c r="C11" s="139" t="s">
        <v>159</v>
      </c>
      <c r="D11" s="140" t="str">
        <f>'Tenure Split (WALES)'!D11</f>
        <v>Default</v>
      </c>
      <c r="E11" s="135" t="str">
        <f>IF(OR(F11=$B$195,F11=$B$196),"Y","N")</f>
        <v>Y</v>
      </c>
      <c r="F11" s="365" t="str">
        <f>'Tenure Split (WALES)'!F11:I11</f>
        <v>Default data used</v>
      </c>
      <c r="G11" s="365"/>
      <c r="H11" s="365"/>
      <c r="I11" s="365"/>
    </row>
    <row r="12" spans="1:11" ht="15" customHeight="1" x14ac:dyDescent="0.2">
      <c r="A12" s="108"/>
      <c r="B12" s="378"/>
      <c r="C12" s="139" t="s">
        <v>160</v>
      </c>
      <c r="D12" s="140" t="str">
        <f>'Tenure Split (WALES)'!D12</f>
        <v>Default</v>
      </c>
      <c r="E12" s="135" t="str">
        <f>IF(OR(F12=$B$195,F12=$B$196),"Y","N")</f>
        <v>Y</v>
      </c>
      <c r="F12" s="375" t="str">
        <f>'Tenure Split (WALES)'!F12:I12</f>
        <v>Default data used</v>
      </c>
      <c r="G12" s="375"/>
      <c r="H12" s="375"/>
      <c r="I12" s="365"/>
    </row>
    <row r="13" spans="1:11" ht="24.75" customHeight="1" x14ac:dyDescent="0.2">
      <c r="A13" s="108"/>
      <c r="B13" s="378"/>
      <c r="C13" s="130" t="s">
        <v>108</v>
      </c>
      <c r="D13" s="131"/>
      <c r="E13" s="136"/>
      <c r="F13" s="131"/>
      <c r="G13" s="137"/>
      <c r="H13" s="131"/>
      <c r="I13" s="138"/>
    </row>
    <row r="14" spans="1:11" ht="29.25" customHeight="1" x14ac:dyDescent="0.2">
      <c r="A14" s="108"/>
      <c r="B14" s="378"/>
      <c r="C14" s="141" t="s">
        <v>57</v>
      </c>
      <c r="D14" s="140" t="str">
        <f>'Tenure Split (WALES)'!D14</f>
        <v>Default</v>
      </c>
      <c r="E14" s="135" t="str">
        <f>IF(OR(F14=$B$195,F14=$B$196),"Y","N")</f>
        <v>Y</v>
      </c>
      <c r="F14" s="375" t="str">
        <f>'Tenure Split (WALES)'!F14:I14</f>
        <v>Default data used</v>
      </c>
      <c r="G14" s="375"/>
      <c r="H14" s="375"/>
      <c r="I14" s="365"/>
    </row>
    <row r="15" spans="1:11" ht="29.25" customHeight="1" x14ac:dyDescent="0.2">
      <c r="A15" s="108"/>
      <c r="B15" s="378"/>
      <c r="C15" s="141" t="s">
        <v>58</v>
      </c>
      <c r="D15" s="140" t="str">
        <f>'Tenure Split (WALES)'!D15</f>
        <v>Greater Inequality</v>
      </c>
      <c r="E15" s="135" t="str">
        <f>IF(OR(F15=$B$195,F15=$B$196),"Y","N")</f>
        <v>Y</v>
      </c>
      <c r="F15" s="375" t="str">
        <f>'Tenure Split (WALES)'!F15:I15</f>
        <v>Default data used</v>
      </c>
      <c r="G15" s="375"/>
      <c r="H15" s="375"/>
      <c r="I15" s="365"/>
    </row>
    <row r="16" spans="1:11" ht="17.25" customHeight="1" x14ac:dyDescent="0.2">
      <c r="A16" s="108"/>
      <c r="B16" s="379"/>
      <c r="C16" s="142" t="s">
        <v>60</v>
      </c>
      <c r="D16" s="140" t="str">
        <f>'Tenure Split (WALES)'!D16</f>
        <v>Default</v>
      </c>
      <c r="E16" s="143" t="str">
        <f>IF(OR(F16=$B$195,F16=$B$196),"Y","N")</f>
        <v>Y</v>
      </c>
      <c r="F16" s="375" t="str">
        <f>'Tenure Split (WALES)'!F16:I16</f>
        <v>Default data used</v>
      </c>
      <c r="G16" s="375"/>
      <c r="H16" s="375"/>
      <c r="I16" s="365"/>
    </row>
    <row r="17" spans="1:11" ht="24.75" customHeight="1" x14ac:dyDescent="0.2">
      <c r="A17" s="108"/>
      <c r="B17" s="380" t="s">
        <v>311</v>
      </c>
      <c r="C17" s="109" t="s">
        <v>109</v>
      </c>
      <c r="D17" s="146"/>
      <c r="E17" s="125"/>
      <c r="F17" s="383"/>
      <c r="G17" s="383"/>
      <c r="H17" s="383"/>
      <c r="I17" s="384"/>
    </row>
    <row r="18" spans="1:11" ht="31.5" customHeight="1" x14ac:dyDescent="0.2">
      <c r="A18" s="108"/>
      <c r="B18" s="381"/>
      <c r="C18" s="97" t="s">
        <v>54</v>
      </c>
      <c r="D18" s="122" t="str">
        <f>'Tenure Split (WALES)'!D18</f>
        <v>Land Registry Data</v>
      </c>
      <c r="E18" s="124" t="str">
        <f>IF(OR(F18=$B$195,F18=$B$196),"Y","N")</f>
        <v>Y</v>
      </c>
      <c r="F18" s="391" t="str">
        <f>IF(D18="",B194,IF(D18="Other",IF('House Prices (Mid and SW Wales)'!N85=1,B197&amp;B201,B196),B195))</f>
        <v>Default data used</v>
      </c>
      <c r="G18" s="391"/>
      <c r="H18" s="391"/>
      <c r="I18" s="392"/>
    </row>
    <row r="19" spans="1:11" ht="24.75" customHeight="1" x14ac:dyDescent="0.2">
      <c r="A19" s="108"/>
      <c r="B19" s="381"/>
      <c r="C19" s="96" t="s">
        <v>110</v>
      </c>
      <c r="D19" s="100"/>
      <c r="E19" s="126"/>
      <c r="F19" s="100"/>
      <c r="G19" s="101"/>
      <c r="H19" s="100"/>
      <c r="I19" s="102"/>
    </row>
    <row r="20" spans="1:11" ht="13.5" customHeight="1" x14ac:dyDescent="0.2">
      <c r="A20" s="108"/>
      <c r="B20" s="381"/>
      <c r="C20" s="98" t="s">
        <v>161</v>
      </c>
      <c r="D20" s="122" t="str">
        <f>'Tenure Split (WALES)'!D20</f>
        <v>Default</v>
      </c>
      <c r="E20" s="124" t="str">
        <f>IF(OR(F20=$B$195,F20=$B$196),"Y","N")</f>
        <v>Y</v>
      </c>
      <c r="F20" s="368" t="str">
        <f>'Tenure Split (WALES)'!F20:I20</f>
        <v>Default data used</v>
      </c>
      <c r="G20" s="368"/>
      <c r="H20" s="368"/>
      <c r="I20" s="368"/>
    </row>
    <row r="21" spans="1:11" ht="15" customHeight="1" x14ac:dyDescent="0.2">
      <c r="A21" s="108"/>
      <c r="B21" s="381"/>
      <c r="C21" s="98" t="s">
        <v>45</v>
      </c>
      <c r="D21" s="122">
        <f>'Tenure Split (WALES)'!D21</f>
        <v>25</v>
      </c>
      <c r="E21" s="124" t="str">
        <f>IF(OR(F21=$B$195,F21=$B$196),"Y","N")</f>
        <v>Y</v>
      </c>
      <c r="F21" s="368" t="str">
        <f>'Tenure Split (WALES)'!F21:I21</f>
        <v>Default data used</v>
      </c>
      <c r="G21" s="368"/>
      <c r="H21" s="368"/>
      <c r="I21" s="368"/>
    </row>
    <row r="22" spans="1:11" ht="28.5" customHeight="1" x14ac:dyDescent="0.2">
      <c r="A22" s="108"/>
      <c r="B22" s="381"/>
      <c r="C22" s="123" t="s">
        <v>162</v>
      </c>
      <c r="D22" s="122" t="str">
        <f>'Tenure Split (WALES)'!D22</f>
        <v>User value (no default)</v>
      </c>
      <c r="E22" s="124" t="str">
        <f>IF(OR(F22=$B$195,F22=$B$196),"Y","N")</f>
        <v>N</v>
      </c>
      <c r="F22" s="368" t="str">
        <f>'Tenure Split (WALES)'!F22:I22</f>
        <v>Please enter user data on sheet: 'Set Yearly Assumptions'</v>
      </c>
      <c r="G22" s="368"/>
      <c r="H22" s="368"/>
      <c r="I22" s="368"/>
    </row>
    <row r="23" spans="1:11" ht="15" customHeight="1" x14ac:dyDescent="0.2">
      <c r="A23" s="108"/>
      <c r="B23" s="381"/>
      <c r="C23" s="98" t="s">
        <v>163</v>
      </c>
      <c r="D23" s="122" t="str">
        <f>'Tenure Split (WALES)'!D23</f>
        <v>Default</v>
      </c>
      <c r="E23" s="124" t="str">
        <f>IF(OR(F23=$B$195,F23=$B$196),"Y","N")</f>
        <v>Y</v>
      </c>
      <c r="F23" s="368" t="str">
        <f>'Tenure Split (WALES)'!F23:I23</f>
        <v>Default data used</v>
      </c>
      <c r="G23" s="368"/>
      <c r="H23" s="368"/>
      <c r="I23" s="368"/>
    </row>
    <row r="24" spans="1:11" ht="24.75" customHeight="1" x14ac:dyDescent="0.2">
      <c r="A24" s="108"/>
      <c r="B24" s="381"/>
      <c r="C24" s="96" t="s">
        <v>111</v>
      </c>
      <c r="D24" s="100"/>
      <c r="E24" s="126"/>
      <c r="F24" s="100"/>
      <c r="G24" s="101"/>
      <c r="H24" s="100"/>
      <c r="I24" s="102"/>
    </row>
    <row r="25" spans="1:11" ht="15" customHeight="1" x14ac:dyDescent="0.2">
      <c r="A25" s="108"/>
      <c r="B25" s="382"/>
      <c r="C25" s="144" t="s">
        <v>59</v>
      </c>
      <c r="D25" s="125" t="str">
        <f>'Tenure Split (WALES)'!D25</f>
        <v>Default</v>
      </c>
      <c r="E25" s="126" t="str">
        <f>IF(OR(F25=$B$195,F25=$B$196),"Y","N")</f>
        <v>Y</v>
      </c>
      <c r="F25" s="363" t="str">
        <f>'Tenure Split (WALES)'!F25:I25</f>
        <v>Default data used</v>
      </c>
      <c r="G25" s="363"/>
      <c r="H25" s="363"/>
      <c r="I25" s="363"/>
    </row>
    <row r="26" spans="1:11" ht="15" customHeight="1" x14ac:dyDescent="0.2">
      <c r="C26" s="78"/>
      <c r="D26" s="79"/>
      <c r="E26" s="76"/>
      <c r="F26" s="80"/>
      <c r="G26" s="80"/>
      <c r="H26" s="80"/>
      <c r="I26" s="80"/>
    </row>
    <row r="27" spans="1:11" ht="15" customHeight="1" x14ac:dyDescent="0.2">
      <c r="B27" s="161" t="str">
        <f>IF(C133=1,"","Commentary on chosen assumptions for 2 tenure split: "&amp;D1)</f>
        <v>Commentary on chosen assumptions for 2 tenure split: Mid and South West Wales</v>
      </c>
      <c r="D27" s="79"/>
      <c r="E27" s="76"/>
      <c r="F27" s="80"/>
      <c r="G27" s="80"/>
      <c r="H27" s="80"/>
      <c r="I27" s="80"/>
    </row>
    <row r="28" spans="1:11" ht="15" customHeight="1" x14ac:dyDescent="0.2">
      <c r="B28" s="364" t="str">
        <f>B188</f>
        <v>The below figures split the estimates of housing need for Mid and South West Wales into two tenures and are based on the following assumptions. The underlying estimates of additional housing units are based on Welsh Government's Principal 2014-based household projections, and an estimate of 1153 households in existing unmet need which will take 5 years to clear. Income data is based on Welsh Government estimates and private rental data is based on Welsh Government data. The yearly change to median household income is based on the default estimates, the yearly change to the distribution of household income is based on the default estimates and the yearly change to rental prices is based on the default estimates.</v>
      </c>
      <c r="C28" s="364"/>
      <c r="D28" s="364"/>
      <c r="E28" s="364"/>
      <c r="F28" s="364"/>
      <c r="G28" s="364"/>
      <c r="H28" s="364"/>
      <c r="I28" s="364"/>
      <c r="J28" s="364"/>
      <c r="K28" s="111"/>
    </row>
    <row r="29" spans="1:11" ht="15" customHeight="1" x14ac:dyDescent="0.2">
      <c r="B29" s="364"/>
      <c r="C29" s="364"/>
      <c r="D29" s="364"/>
      <c r="E29" s="364"/>
      <c r="F29" s="364"/>
      <c r="G29" s="364"/>
      <c r="H29" s="364"/>
      <c r="I29" s="364"/>
      <c r="J29" s="364"/>
      <c r="K29" s="111"/>
    </row>
    <row r="30" spans="1:11" ht="15" customHeight="1" x14ac:dyDescent="0.2">
      <c r="B30" s="364"/>
      <c r="C30" s="364"/>
      <c r="D30" s="364"/>
      <c r="E30" s="364"/>
      <c r="F30" s="364"/>
      <c r="G30" s="364"/>
      <c r="H30" s="364"/>
      <c r="I30" s="364"/>
      <c r="J30" s="364"/>
      <c r="K30" s="111"/>
    </row>
    <row r="31" spans="1:11" ht="15" customHeight="1" x14ac:dyDescent="0.2">
      <c r="B31" s="364"/>
      <c r="C31" s="364"/>
      <c r="D31" s="364"/>
      <c r="E31" s="364"/>
      <c r="F31" s="364"/>
      <c r="G31" s="364"/>
      <c r="H31" s="364"/>
      <c r="I31" s="364"/>
      <c r="J31" s="364"/>
      <c r="K31" s="111"/>
    </row>
    <row r="32" spans="1:11" ht="15" customHeight="1" x14ac:dyDescent="0.2">
      <c r="B32" s="364"/>
      <c r="C32" s="364"/>
      <c r="D32" s="364"/>
      <c r="E32" s="364"/>
      <c r="F32" s="364"/>
      <c r="G32" s="364"/>
      <c r="H32" s="364"/>
      <c r="I32" s="364"/>
      <c r="J32" s="364"/>
      <c r="K32" s="111"/>
    </row>
    <row r="33" spans="2:11" ht="15" customHeight="1" x14ac:dyDescent="0.2">
      <c r="B33" s="112"/>
      <c r="C33" s="145"/>
      <c r="D33" s="145"/>
      <c r="E33" s="145"/>
      <c r="F33" s="145"/>
      <c r="G33" s="145"/>
      <c r="H33" s="145"/>
      <c r="I33" s="145"/>
      <c r="J33" s="145"/>
      <c r="K33" s="111"/>
    </row>
    <row r="34" spans="2:11" ht="15" customHeight="1" x14ac:dyDescent="0.2">
      <c r="B34" s="112"/>
      <c r="C34" s="145"/>
      <c r="D34" s="145"/>
      <c r="E34" s="145"/>
      <c r="F34" s="145"/>
      <c r="G34" s="145"/>
      <c r="H34" s="145"/>
      <c r="I34" s="145"/>
      <c r="J34" s="145"/>
      <c r="K34" s="111"/>
    </row>
    <row r="35" spans="2:11" ht="15" customHeight="1" x14ac:dyDescent="0.2">
      <c r="B35" s="112"/>
      <c r="C35" s="145"/>
      <c r="D35" s="145"/>
      <c r="E35" s="145"/>
      <c r="F35" s="145"/>
      <c r="G35" s="145"/>
      <c r="H35" s="145"/>
      <c r="I35" s="145"/>
      <c r="J35" s="145"/>
      <c r="K35" s="111"/>
    </row>
    <row r="36" spans="2:11" ht="15" customHeight="1" x14ac:dyDescent="0.2">
      <c r="B36" s="112"/>
      <c r="C36" s="145"/>
      <c r="D36" s="145"/>
      <c r="E36" s="145"/>
      <c r="F36" s="145"/>
      <c r="G36" s="145"/>
      <c r="H36" s="145"/>
      <c r="I36" s="145"/>
      <c r="J36" s="145"/>
      <c r="K36" s="111"/>
    </row>
    <row r="37" spans="2:11" ht="15" customHeight="1" x14ac:dyDescent="0.2">
      <c r="B37" s="112"/>
      <c r="C37" s="145"/>
      <c r="D37" s="145"/>
      <c r="E37" s="145"/>
      <c r="F37" s="145"/>
      <c r="G37" s="145"/>
      <c r="H37" s="145"/>
      <c r="I37" s="145"/>
      <c r="J37" s="145"/>
      <c r="K37" s="111"/>
    </row>
    <row r="38" spans="2:11" ht="15" customHeight="1" x14ac:dyDescent="0.2">
      <c r="B38" s="145"/>
      <c r="C38" s="145"/>
      <c r="D38" s="145"/>
      <c r="E38" s="145"/>
      <c r="F38" s="145"/>
      <c r="G38" s="145"/>
      <c r="H38" s="145"/>
      <c r="I38" s="145"/>
      <c r="J38" s="145"/>
      <c r="K38" s="111"/>
    </row>
    <row r="39" spans="2:11" ht="15" customHeight="1" x14ac:dyDescent="0.2">
      <c r="B39" s="145"/>
      <c r="C39" s="145"/>
      <c r="D39" s="145"/>
      <c r="E39" s="145"/>
      <c r="F39" s="145"/>
      <c r="G39" s="145"/>
      <c r="H39" s="145"/>
      <c r="I39" s="145"/>
      <c r="J39" s="145"/>
      <c r="K39" s="111"/>
    </row>
    <row r="40" spans="2:11" ht="15" customHeight="1" x14ac:dyDescent="0.2">
      <c r="B40" s="145"/>
      <c r="C40" s="145"/>
      <c r="D40" s="145"/>
      <c r="E40" s="145"/>
      <c r="F40" s="145"/>
      <c r="G40" s="145"/>
      <c r="H40" s="145"/>
      <c r="I40" s="145"/>
      <c r="J40" s="145"/>
      <c r="K40" s="111"/>
    </row>
    <row r="41" spans="2:11" ht="15" customHeight="1" x14ac:dyDescent="0.2">
      <c r="B41" s="145"/>
      <c r="C41" s="145"/>
      <c r="D41" s="145"/>
      <c r="E41" s="145"/>
      <c r="F41" s="145"/>
      <c r="G41" s="145"/>
      <c r="H41" s="145"/>
      <c r="I41" s="145"/>
      <c r="J41" s="145"/>
      <c r="K41" s="111"/>
    </row>
    <row r="42" spans="2:11" ht="15" customHeight="1" x14ac:dyDescent="0.2">
      <c r="B42" s="145"/>
      <c r="C42" s="145"/>
      <c r="D42" s="145"/>
      <c r="E42" s="145"/>
      <c r="F42" s="145"/>
      <c r="G42" s="145"/>
      <c r="H42" s="145"/>
      <c r="I42" s="145"/>
      <c r="J42" s="145"/>
      <c r="K42" s="111"/>
    </row>
    <row r="43" spans="2:11" ht="15" customHeight="1" x14ac:dyDescent="0.2">
      <c r="B43" s="145"/>
      <c r="C43" s="145"/>
      <c r="D43" s="145"/>
      <c r="E43" s="145"/>
      <c r="F43" s="145"/>
      <c r="G43" s="145"/>
      <c r="H43" s="145"/>
      <c r="I43" s="145"/>
      <c r="J43" s="145"/>
      <c r="K43" s="111"/>
    </row>
    <row r="44" spans="2:11" ht="15" customHeight="1" x14ac:dyDescent="0.2">
      <c r="B44" s="145"/>
      <c r="C44" s="145"/>
      <c r="D44" s="145"/>
      <c r="E44" s="145"/>
      <c r="F44" s="145"/>
      <c r="G44" s="145"/>
      <c r="H44" s="145"/>
      <c r="I44" s="145"/>
      <c r="J44" s="145"/>
      <c r="K44" s="111"/>
    </row>
    <row r="45" spans="2:11" ht="15" customHeight="1" x14ac:dyDescent="0.2">
      <c r="B45" s="145"/>
      <c r="C45" s="145"/>
      <c r="D45" s="145"/>
      <c r="E45" s="145"/>
      <c r="F45" s="145"/>
      <c r="G45" s="145"/>
      <c r="H45" s="145"/>
      <c r="I45" s="145"/>
      <c r="J45" s="145"/>
      <c r="K45" s="111"/>
    </row>
    <row r="46" spans="2:11" ht="15" customHeight="1" x14ac:dyDescent="0.2">
      <c r="B46" s="145"/>
      <c r="C46" s="145"/>
      <c r="D46" s="145"/>
      <c r="E46" s="145"/>
      <c r="F46" s="145"/>
      <c r="G46" s="145"/>
      <c r="H46" s="145"/>
      <c r="I46" s="145"/>
      <c r="J46" s="145"/>
      <c r="K46" s="111"/>
    </row>
    <row r="47" spans="2:11" ht="15" customHeight="1" x14ac:dyDescent="0.2">
      <c r="B47" s="145"/>
      <c r="C47" s="145"/>
      <c r="D47" s="145"/>
      <c r="E47" s="145"/>
      <c r="F47" s="145"/>
      <c r="G47" s="145"/>
      <c r="H47" s="145"/>
      <c r="I47" s="145"/>
      <c r="J47" s="145"/>
      <c r="K47" s="111"/>
    </row>
    <row r="48" spans="2:11" ht="15" customHeight="1" x14ac:dyDescent="0.2">
      <c r="B48" s="145"/>
      <c r="C48" s="145"/>
      <c r="D48" s="145"/>
      <c r="E48" s="145"/>
      <c r="F48" s="145"/>
      <c r="G48" s="145"/>
      <c r="H48" s="145"/>
      <c r="I48" s="145"/>
      <c r="J48" s="145"/>
      <c r="K48" s="111"/>
    </row>
    <row r="49" spans="2:11" ht="15" customHeight="1" x14ac:dyDescent="0.2">
      <c r="B49" s="145"/>
      <c r="C49" s="145"/>
      <c r="D49" s="145"/>
      <c r="E49" s="145"/>
      <c r="F49" s="145"/>
      <c r="G49" s="145"/>
      <c r="H49" s="145"/>
      <c r="I49" s="145"/>
      <c r="J49" s="145"/>
      <c r="K49" s="111"/>
    </row>
    <row r="50" spans="2:11" ht="15" customHeight="1" x14ac:dyDescent="0.2">
      <c r="B50" s="145"/>
      <c r="C50" s="145"/>
      <c r="D50" s="145"/>
      <c r="E50" s="145"/>
      <c r="F50" s="145"/>
      <c r="G50" s="145"/>
      <c r="H50" s="145"/>
      <c r="I50" s="145"/>
      <c r="J50" s="145"/>
      <c r="K50" s="111"/>
    </row>
    <row r="51" spans="2:11" ht="15" customHeight="1" x14ac:dyDescent="0.2">
      <c r="B51" s="145"/>
      <c r="C51" s="145"/>
      <c r="D51" s="145"/>
      <c r="E51" s="145"/>
      <c r="F51" s="145"/>
      <c r="G51" s="145"/>
      <c r="H51" s="145"/>
      <c r="I51" s="145"/>
      <c r="J51" s="145"/>
      <c r="K51" s="111"/>
    </row>
    <row r="52" spans="2:11" ht="15" customHeight="1" x14ac:dyDescent="0.2">
      <c r="B52" s="354" t="s">
        <v>284</v>
      </c>
      <c r="C52" s="355"/>
      <c r="D52" s="355"/>
      <c r="E52" s="355"/>
      <c r="F52" s="355"/>
      <c r="G52" s="355"/>
      <c r="H52" s="355"/>
      <c r="I52" s="355"/>
      <c r="J52" s="356"/>
      <c r="K52" s="111"/>
    </row>
    <row r="53" spans="2:11" ht="15" customHeight="1" x14ac:dyDescent="0.2">
      <c r="B53" s="357"/>
      <c r="C53" s="358"/>
      <c r="D53" s="358"/>
      <c r="E53" s="358"/>
      <c r="F53" s="358"/>
      <c r="G53" s="358"/>
      <c r="H53" s="358"/>
      <c r="I53" s="358"/>
      <c r="J53" s="359"/>
      <c r="K53" s="111"/>
    </row>
    <row r="54" spans="2:11" ht="15" customHeight="1" x14ac:dyDescent="0.2">
      <c r="B54" s="267"/>
      <c r="C54" s="267"/>
      <c r="D54" s="267"/>
      <c r="E54" s="267"/>
      <c r="F54" s="267"/>
      <c r="G54" s="267"/>
      <c r="H54" s="267"/>
      <c r="I54" s="267"/>
      <c r="J54" s="267"/>
      <c r="K54" s="111"/>
    </row>
    <row r="55" spans="2:11" ht="15" customHeight="1" x14ac:dyDescent="0.2">
      <c r="B55" s="85" t="s">
        <v>145</v>
      </c>
      <c r="C55" s="86"/>
      <c r="D55" s="86"/>
      <c r="E55" s="86"/>
      <c r="F55" s="86"/>
      <c r="G55" s="86"/>
      <c r="K55" s="111"/>
    </row>
    <row r="56" spans="2:11" ht="15" customHeight="1" x14ac:dyDescent="0.2">
      <c r="B56" s="153" t="str">
        <f>B148</f>
        <v/>
      </c>
      <c r="C56" s="154" t="str">
        <f t="shared" ref="C56:G56" si="0">C148</f>
        <v>2018/19</v>
      </c>
      <c r="D56" s="154" t="str">
        <f t="shared" si="0"/>
        <v>2019/20</v>
      </c>
      <c r="E56" s="154" t="str">
        <f t="shared" si="0"/>
        <v>2020/21</v>
      </c>
      <c r="F56" s="154" t="str">
        <f t="shared" si="0"/>
        <v>2021/22</v>
      </c>
      <c r="G56" s="154" t="str">
        <f t="shared" si="0"/>
        <v>2022/23</v>
      </c>
      <c r="K56" s="111"/>
    </row>
    <row r="57" spans="2:11" ht="15" customHeight="1" x14ac:dyDescent="0.2">
      <c r="B57" s="153" t="str">
        <f t="shared" ref="B57:G58" si="1">B149</f>
        <v>Market Housing</v>
      </c>
      <c r="C57" s="155">
        <f t="shared" si="1"/>
        <v>1123.92</v>
      </c>
      <c r="D57" s="155">
        <f t="shared" si="1"/>
        <v>1076.67</v>
      </c>
      <c r="E57" s="155">
        <f t="shared" si="1"/>
        <v>1076.04</v>
      </c>
      <c r="F57" s="155">
        <f t="shared" si="1"/>
        <v>1151.01</v>
      </c>
      <c r="G57" s="155">
        <f t="shared" si="1"/>
        <v>1072.26</v>
      </c>
      <c r="K57" s="111"/>
    </row>
    <row r="58" spans="2:11" ht="15" customHeight="1" x14ac:dyDescent="0.2">
      <c r="B58" s="153" t="str">
        <f t="shared" si="1"/>
        <v>Affordable Housing</v>
      </c>
      <c r="C58" s="155">
        <f>C150</f>
        <v>890.67999999999984</v>
      </c>
      <c r="D58" s="155">
        <f t="shared" si="1"/>
        <v>862.92999999999984</v>
      </c>
      <c r="E58" s="155">
        <f t="shared" si="1"/>
        <v>862.56</v>
      </c>
      <c r="F58" s="155">
        <f t="shared" si="1"/>
        <v>906.58999999999992</v>
      </c>
      <c r="G58" s="155">
        <f t="shared" si="1"/>
        <v>860.33999999999992</v>
      </c>
      <c r="K58" s="111"/>
    </row>
    <row r="59" spans="2:11" ht="15" customHeight="1" x14ac:dyDescent="0.2">
      <c r="K59" s="111"/>
    </row>
    <row r="60" spans="2:11" ht="15" customHeight="1" x14ac:dyDescent="0.2">
      <c r="B60" s="74" t="s">
        <v>146</v>
      </c>
      <c r="K60" s="111"/>
    </row>
    <row r="61" spans="2:11" ht="15" customHeight="1" x14ac:dyDescent="0.2">
      <c r="B61" s="114" t="str">
        <f>B151</f>
        <v/>
      </c>
      <c r="C61" s="156" t="str">
        <f t="shared" ref="C61:G63" si="2">C151</f>
        <v>2018/19</v>
      </c>
      <c r="D61" s="156" t="str">
        <f t="shared" si="2"/>
        <v>2019/20</v>
      </c>
      <c r="E61" s="156" t="str">
        <f t="shared" si="2"/>
        <v>2020/21</v>
      </c>
      <c r="F61" s="156" t="str">
        <f t="shared" si="2"/>
        <v>2021/22</v>
      </c>
      <c r="G61" s="156" t="str">
        <f t="shared" si="2"/>
        <v>2022/23</v>
      </c>
      <c r="I61" s="387" t="str">
        <f>I151</f>
        <v>Overall 5 Year Split</v>
      </c>
      <c r="J61" s="387"/>
      <c r="K61" s="111"/>
    </row>
    <row r="62" spans="2:11" ht="15" customHeight="1" x14ac:dyDescent="0.2">
      <c r="B62" s="114" t="str">
        <f>B152</f>
        <v>Market Housing</v>
      </c>
      <c r="C62" s="157">
        <f>C152</f>
        <v>0.55788742182070894</v>
      </c>
      <c r="D62" s="157">
        <f t="shared" si="2"/>
        <v>0.55509898948236758</v>
      </c>
      <c r="E62" s="157">
        <f t="shared" si="2"/>
        <v>0.55506035283194055</v>
      </c>
      <c r="F62" s="157">
        <f t="shared" si="2"/>
        <v>0.55939444012441686</v>
      </c>
      <c r="G62" s="157">
        <f t="shared" si="2"/>
        <v>0.55482769326296189</v>
      </c>
      <c r="I62" s="376">
        <f>I152</f>
        <v>0.55650106243043618</v>
      </c>
      <c r="J62" s="376"/>
      <c r="K62" s="111"/>
    </row>
    <row r="63" spans="2:11" ht="15" customHeight="1" x14ac:dyDescent="0.2">
      <c r="B63" s="114" t="str">
        <f t="shared" ref="B63" si="3">B153</f>
        <v>Affordable</v>
      </c>
      <c r="C63" s="157">
        <f>C153</f>
        <v>0.44211257817929112</v>
      </c>
      <c r="D63" s="157">
        <f t="shared" si="2"/>
        <v>0.44490101051763242</v>
      </c>
      <c r="E63" s="157">
        <f t="shared" si="2"/>
        <v>0.44493964716805939</v>
      </c>
      <c r="F63" s="157">
        <f t="shared" si="2"/>
        <v>0.4406055598755832</v>
      </c>
      <c r="G63" s="157">
        <f t="shared" si="2"/>
        <v>0.44517230673703817</v>
      </c>
      <c r="I63" s="376">
        <f>I153</f>
        <v>0.44349893756956382</v>
      </c>
      <c r="J63" s="376"/>
      <c r="K63" s="111"/>
    </row>
    <row r="64" spans="2:11" ht="15" customHeight="1" x14ac:dyDescent="0.2">
      <c r="B64" s="112"/>
      <c r="C64" s="145"/>
      <c r="D64" s="145"/>
      <c r="E64" s="145"/>
      <c r="F64" s="145"/>
      <c r="G64" s="145"/>
      <c r="H64" s="145"/>
      <c r="I64" s="145"/>
      <c r="J64" s="145"/>
      <c r="K64" s="111"/>
    </row>
    <row r="65" spans="2:11" ht="15" customHeight="1" x14ac:dyDescent="0.2">
      <c r="B65" s="81" t="str">
        <f>IF(C145=1,"","Commentary on chosen assumptions for 4 tenure split")</f>
        <v/>
      </c>
      <c r="C65" s="145"/>
      <c r="D65" s="145"/>
      <c r="E65" s="145"/>
      <c r="F65" s="145"/>
      <c r="G65" s="145"/>
      <c r="H65" s="145"/>
      <c r="I65" s="145"/>
      <c r="J65" s="145"/>
      <c r="K65" s="111"/>
    </row>
    <row r="66" spans="2:11" ht="15" customHeight="1" x14ac:dyDescent="0.2">
      <c r="B66" s="364" t="str">
        <f>B192</f>
        <v>Estimates split into 4 tenures will not appear below until the above table is complete.</v>
      </c>
      <c r="C66" s="364"/>
      <c r="D66" s="364"/>
      <c r="E66" s="364"/>
      <c r="F66" s="364"/>
      <c r="G66" s="364"/>
      <c r="H66" s="364"/>
      <c r="I66" s="364"/>
      <c r="J66" s="364"/>
      <c r="K66" s="111"/>
    </row>
    <row r="67" spans="2:11" ht="15" customHeight="1" x14ac:dyDescent="0.2">
      <c r="B67" s="364"/>
      <c r="C67" s="364"/>
      <c r="D67" s="364"/>
      <c r="E67" s="364"/>
      <c r="F67" s="364"/>
      <c r="G67" s="364"/>
      <c r="H67" s="364"/>
      <c r="I67" s="364"/>
      <c r="J67" s="364"/>
      <c r="K67" s="111"/>
    </row>
    <row r="68" spans="2:11" ht="15" customHeight="1" x14ac:dyDescent="0.2">
      <c r="B68" s="364"/>
      <c r="C68" s="364"/>
      <c r="D68" s="364"/>
      <c r="E68" s="364"/>
      <c r="F68" s="364"/>
      <c r="G68" s="364"/>
      <c r="H68" s="364"/>
      <c r="I68" s="364"/>
      <c r="J68" s="364"/>
      <c r="K68" s="111"/>
    </row>
    <row r="69" spans="2:11" ht="15" customHeight="1" x14ac:dyDescent="0.2">
      <c r="B69" s="364"/>
      <c r="C69" s="364"/>
      <c r="D69" s="364"/>
      <c r="E69" s="364"/>
      <c r="F69" s="364"/>
      <c r="G69" s="364"/>
      <c r="H69" s="364"/>
      <c r="I69" s="364"/>
      <c r="J69" s="364"/>
      <c r="K69" s="111"/>
    </row>
    <row r="70" spans="2:11" ht="15" customHeight="1" x14ac:dyDescent="0.2">
      <c r="C70" s="78"/>
      <c r="D70" s="82"/>
      <c r="F70" s="83"/>
      <c r="G70" s="84"/>
    </row>
    <row r="71" spans="2:11" ht="15" customHeight="1" x14ac:dyDescent="0.2">
      <c r="C71" s="78"/>
      <c r="D71" s="82"/>
      <c r="E71" s="84"/>
      <c r="F71" s="83"/>
      <c r="G71" s="84"/>
    </row>
    <row r="72" spans="2:11" ht="15" customHeight="1" x14ac:dyDescent="0.2">
      <c r="C72" s="78"/>
      <c r="D72" s="82"/>
      <c r="E72" s="84"/>
      <c r="F72" s="83"/>
      <c r="G72" s="84"/>
    </row>
    <row r="73" spans="2:11" ht="15" customHeight="1" x14ac:dyDescent="0.2">
      <c r="C73" s="78"/>
      <c r="D73" s="82"/>
      <c r="E73" s="84"/>
      <c r="F73" s="83"/>
      <c r="G73" s="84"/>
    </row>
    <row r="74" spans="2:11" ht="15" customHeight="1" x14ac:dyDescent="0.2">
      <c r="C74" s="78"/>
      <c r="D74" s="82"/>
      <c r="E74" s="84"/>
      <c r="F74" s="83"/>
      <c r="G74" s="84"/>
    </row>
    <row r="75" spans="2:11" ht="15" customHeight="1" x14ac:dyDescent="0.2">
      <c r="C75" s="78"/>
      <c r="D75" s="82"/>
      <c r="E75" s="84"/>
      <c r="F75" s="83"/>
      <c r="G75" s="84"/>
    </row>
    <row r="76" spans="2:11" ht="15" customHeight="1" x14ac:dyDescent="0.2">
      <c r="C76" s="78"/>
      <c r="D76" s="82"/>
      <c r="E76" s="84"/>
      <c r="F76" s="83"/>
      <c r="G76" s="84"/>
    </row>
    <row r="77" spans="2:11" ht="15" customHeight="1" x14ac:dyDescent="0.2">
      <c r="C77" s="78"/>
      <c r="D77" s="82"/>
      <c r="E77" s="84"/>
      <c r="F77" s="83"/>
      <c r="G77" s="84"/>
    </row>
    <row r="78" spans="2:11" ht="15" customHeight="1" x14ac:dyDescent="0.2">
      <c r="C78" s="78"/>
      <c r="D78" s="82"/>
      <c r="E78" s="84"/>
      <c r="F78" s="83"/>
      <c r="G78" s="84"/>
    </row>
    <row r="79" spans="2:11" ht="15" customHeight="1" x14ac:dyDescent="0.2">
      <c r="C79" s="78"/>
      <c r="D79" s="82"/>
      <c r="E79" s="84"/>
      <c r="F79" s="83"/>
      <c r="G79" s="84"/>
    </row>
    <row r="80" spans="2:11" ht="15" customHeight="1" x14ac:dyDescent="0.2">
      <c r="C80" s="78"/>
      <c r="D80" s="82"/>
      <c r="E80" s="84"/>
      <c r="F80" s="83"/>
      <c r="G80" s="84"/>
    </row>
    <row r="81" spans="2:7" ht="15" customHeight="1" x14ac:dyDescent="0.2">
      <c r="C81" s="78"/>
      <c r="D81" s="82"/>
      <c r="E81" s="84"/>
      <c r="F81" s="83"/>
      <c r="G81" s="84"/>
    </row>
    <row r="82" spans="2:7" ht="15" customHeight="1" x14ac:dyDescent="0.2">
      <c r="C82" s="78"/>
      <c r="D82" s="82"/>
      <c r="E82" s="84"/>
      <c r="F82" s="83"/>
      <c r="G82" s="84"/>
    </row>
    <row r="83" spans="2:7" ht="15" customHeight="1" x14ac:dyDescent="0.2">
      <c r="C83" s="78"/>
      <c r="D83" s="82"/>
      <c r="E83" s="84"/>
      <c r="F83" s="83"/>
      <c r="G83" s="84"/>
    </row>
    <row r="84" spans="2:7" ht="15" customHeight="1" x14ac:dyDescent="0.2">
      <c r="C84" s="78"/>
      <c r="D84" s="82"/>
      <c r="E84" s="84"/>
      <c r="F84" s="83"/>
      <c r="G84" s="84"/>
    </row>
    <row r="85" spans="2:7" ht="15" customHeight="1" x14ac:dyDescent="0.2">
      <c r="C85" s="78"/>
      <c r="D85" s="82"/>
      <c r="E85" s="84"/>
      <c r="F85" s="83"/>
      <c r="G85" s="84"/>
    </row>
    <row r="86" spans="2:7" ht="15" customHeight="1" x14ac:dyDescent="0.2">
      <c r="C86" s="78"/>
      <c r="D86" s="82"/>
      <c r="E86" s="84"/>
      <c r="F86" s="83"/>
      <c r="G86" s="84"/>
    </row>
    <row r="87" spans="2:7" ht="15" customHeight="1" x14ac:dyDescent="0.2">
      <c r="C87" s="78"/>
      <c r="D87" s="82"/>
      <c r="E87" s="84"/>
      <c r="F87" s="83"/>
      <c r="G87" s="84"/>
    </row>
    <row r="88" spans="2:7" ht="15" customHeight="1" x14ac:dyDescent="0.2">
      <c r="C88" s="78"/>
      <c r="D88" s="82"/>
      <c r="E88" s="84"/>
      <c r="F88" s="83"/>
      <c r="G88" s="84"/>
    </row>
    <row r="89" spans="2:7" ht="15" customHeight="1" x14ac:dyDescent="0.2">
      <c r="C89" s="78"/>
      <c r="D89" s="82"/>
      <c r="E89" s="84"/>
      <c r="F89" s="83"/>
      <c r="G89" s="84"/>
    </row>
    <row r="90" spans="2:7" ht="15" customHeight="1" x14ac:dyDescent="0.2">
      <c r="B90" s="85" t="s">
        <v>147</v>
      </c>
      <c r="C90" s="86"/>
      <c r="D90" s="86"/>
      <c r="E90" s="86"/>
      <c r="F90" s="86"/>
      <c r="G90" s="86"/>
    </row>
    <row r="91" spans="2:7" ht="15" customHeight="1" x14ac:dyDescent="0.2">
      <c r="B91" s="159" t="str">
        <f>B157</f>
        <v>Please complete table to view estimates split into 4 tenures.</v>
      </c>
      <c r="C91" s="114"/>
      <c r="D91" s="114"/>
      <c r="E91" s="114"/>
      <c r="F91" s="114"/>
      <c r="G91" s="114"/>
    </row>
    <row r="92" spans="2:7" ht="15" customHeight="1" x14ac:dyDescent="0.2">
      <c r="B92" s="159"/>
      <c r="C92" s="154" t="str">
        <f t="shared" ref="C92:G96" si="4">C157</f>
        <v/>
      </c>
      <c r="D92" s="154" t="str">
        <f t="shared" si="4"/>
        <v/>
      </c>
      <c r="E92" s="154" t="str">
        <f t="shared" si="4"/>
        <v/>
      </c>
      <c r="F92" s="154" t="str">
        <f t="shared" si="4"/>
        <v/>
      </c>
      <c r="G92" s="154" t="str">
        <f t="shared" si="4"/>
        <v/>
      </c>
    </row>
    <row r="93" spans="2:7" ht="15" customHeight="1" x14ac:dyDescent="0.2">
      <c r="B93" s="153" t="str">
        <f>B158</f>
        <v/>
      </c>
      <c r="C93" s="160" t="str">
        <f t="shared" si="4"/>
        <v/>
      </c>
      <c r="D93" s="155" t="str">
        <f t="shared" si="4"/>
        <v/>
      </c>
      <c r="E93" s="155" t="str">
        <f t="shared" si="4"/>
        <v/>
      </c>
      <c r="F93" s="155" t="str">
        <f t="shared" si="4"/>
        <v/>
      </c>
      <c r="G93" s="155" t="str">
        <f t="shared" si="4"/>
        <v/>
      </c>
    </row>
    <row r="94" spans="2:7" ht="15" customHeight="1" x14ac:dyDescent="0.2">
      <c r="B94" s="153" t="str">
        <f>B159</f>
        <v/>
      </c>
      <c r="C94" s="155" t="str">
        <f t="shared" si="4"/>
        <v/>
      </c>
      <c r="D94" s="155" t="str">
        <f t="shared" si="4"/>
        <v/>
      </c>
      <c r="E94" s="155" t="str">
        <f t="shared" si="4"/>
        <v/>
      </c>
      <c r="F94" s="155" t="str">
        <f t="shared" si="4"/>
        <v/>
      </c>
      <c r="G94" s="155" t="str">
        <f t="shared" si="4"/>
        <v/>
      </c>
    </row>
    <row r="95" spans="2:7" ht="15" customHeight="1" x14ac:dyDescent="0.2">
      <c r="B95" s="155" t="str">
        <f>B160</f>
        <v/>
      </c>
      <c r="C95" s="155" t="str">
        <f t="shared" si="4"/>
        <v/>
      </c>
      <c r="D95" s="155" t="str">
        <f t="shared" si="4"/>
        <v/>
      </c>
      <c r="E95" s="155" t="str">
        <f t="shared" si="4"/>
        <v/>
      </c>
      <c r="F95" s="155" t="str">
        <f t="shared" si="4"/>
        <v/>
      </c>
      <c r="G95" s="155" t="str">
        <f t="shared" si="4"/>
        <v/>
      </c>
    </row>
    <row r="96" spans="2:7" ht="15" customHeight="1" x14ac:dyDescent="0.2">
      <c r="B96" s="155" t="str">
        <f>B161</f>
        <v/>
      </c>
      <c r="C96" s="155" t="str">
        <f t="shared" si="4"/>
        <v/>
      </c>
      <c r="D96" s="155" t="str">
        <f t="shared" si="4"/>
        <v/>
      </c>
      <c r="E96" s="155" t="str">
        <f t="shared" si="4"/>
        <v/>
      </c>
      <c r="F96" s="155" t="str">
        <f t="shared" si="4"/>
        <v/>
      </c>
      <c r="G96" s="155" t="str">
        <f t="shared" si="4"/>
        <v/>
      </c>
    </row>
    <row r="97" spans="2:20" ht="15" customHeight="1" x14ac:dyDescent="0.2"/>
    <row r="98" spans="2:20" ht="15" customHeight="1" x14ac:dyDescent="0.2">
      <c r="B98" s="74" t="s">
        <v>148</v>
      </c>
    </row>
    <row r="99" spans="2:20" ht="15" customHeight="1" x14ac:dyDescent="0.2">
      <c r="B99" s="114" t="str">
        <f>B162</f>
        <v>Please complete table to view estimates split into 4 tenures.</v>
      </c>
      <c r="C99" s="114"/>
      <c r="D99" s="114"/>
      <c r="E99" s="114"/>
      <c r="F99" s="114"/>
      <c r="G99" s="114"/>
      <c r="I99" s="387" t="str">
        <f>I162</f>
        <v/>
      </c>
      <c r="J99" s="387"/>
    </row>
    <row r="100" spans="2:20" ht="15" customHeight="1" x14ac:dyDescent="0.2">
      <c r="B100" s="114"/>
      <c r="C100" s="156" t="str">
        <f t="shared" ref="C100:G104" si="5">C162</f>
        <v/>
      </c>
      <c r="D100" s="156" t="str">
        <f t="shared" si="5"/>
        <v/>
      </c>
      <c r="E100" s="156" t="str">
        <f t="shared" si="5"/>
        <v/>
      </c>
      <c r="F100" s="156" t="str">
        <f t="shared" si="5"/>
        <v/>
      </c>
      <c r="G100" s="156" t="str">
        <f t="shared" si="5"/>
        <v/>
      </c>
      <c r="I100" s="158"/>
      <c r="J100" s="158"/>
    </row>
    <row r="101" spans="2:20" ht="15" customHeight="1" x14ac:dyDescent="0.2">
      <c r="B101" s="114" t="str">
        <f>B163</f>
        <v/>
      </c>
      <c r="C101" s="157" t="str">
        <f t="shared" si="5"/>
        <v/>
      </c>
      <c r="D101" s="157" t="str">
        <f t="shared" si="5"/>
        <v/>
      </c>
      <c r="E101" s="157" t="str">
        <f t="shared" si="5"/>
        <v/>
      </c>
      <c r="F101" s="157" t="str">
        <f t="shared" si="5"/>
        <v/>
      </c>
      <c r="G101" s="157" t="str">
        <f t="shared" si="5"/>
        <v/>
      </c>
      <c r="I101" s="376" t="str">
        <f>I163</f>
        <v/>
      </c>
      <c r="J101" s="376"/>
    </row>
    <row r="102" spans="2:20" ht="15" customHeight="1" x14ac:dyDescent="0.2">
      <c r="B102" s="114" t="str">
        <f>B164</f>
        <v/>
      </c>
      <c r="C102" s="157" t="str">
        <f t="shared" si="5"/>
        <v/>
      </c>
      <c r="D102" s="157" t="str">
        <f t="shared" si="5"/>
        <v/>
      </c>
      <c r="E102" s="157" t="str">
        <f t="shared" si="5"/>
        <v/>
      </c>
      <c r="F102" s="157" t="str">
        <f t="shared" si="5"/>
        <v/>
      </c>
      <c r="G102" s="157" t="str">
        <f t="shared" si="5"/>
        <v/>
      </c>
      <c r="I102" s="376" t="str">
        <f>I164</f>
        <v/>
      </c>
      <c r="J102" s="376"/>
    </row>
    <row r="103" spans="2:20" ht="14.25" customHeight="1" x14ac:dyDescent="0.2">
      <c r="B103" s="114" t="str">
        <f>B165</f>
        <v/>
      </c>
      <c r="C103" s="157" t="str">
        <f t="shared" si="5"/>
        <v/>
      </c>
      <c r="D103" s="157" t="str">
        <f t="shared" si="5"/>
        <v/>
      </c>
      <c r="E103" s="157" t="str">
        <f t="shared" si="5"/>
        <v/>
      </c>
      <c r="F103" s="157" t="str">
        <f t="shared" si="5"/>
        <v/>
      </c>
      <c r="G103" s="157" t="str">
        <f t="shared" si="5"/>
        <v/>
      </c>
      <c r="I103" s="376" t="str">
        <f>I165</f>
        <v/>
      </c>
      <c r="J103" s="376"/>
    </row>
    <row r="104" spans="2:20" ht="14.25" customHeight="1" x14ac:dyDescent="0.2">
      <c r="B104" s="114" t="str">
        <f>B166</f>
        <v/>
      </c>
      <c r="C104" s="157" t="str">
        <f t="shared" si="5"/>
        <v/>
      </c>
      <c r="D104" s="157" t="str">
        <f t="shared" si="5"/>
        <v/>
      </c>
      <c r="E104" s="157" t="str">
        <f t="shared" si="5"/>
        <v/>
      </c>
      <c r="F104" s="157" t="str">
        <f t="shared" si="5"/>
        <v/>
      </c>
      <c r="G104" s="157" t="str">
        <f t="shared" si="5"/>
        <v/>
      </c>
      <c r="I104" s="376" t="str">
        <f>I166</f>
        <v/>
      </c>
      <c r="J104" s="376"/>
    </row>
    <row r="105" spans="2:20" ht="14.25" customHeight="1" x14ac:dyDescent="0.2">
      <c r="C105" s="74"/>
      <c r="M105" s="87"/>
      <c r="N105" s="88"/>
      <c r="O105" s="88"/>
      <c r="P105" s="88"/>
      <c r="Q105" s="88"/>
      <c r="R105" s="88"/>
      <c r="S105" s="87"/>
      <c r="T105" s="89"/>
    </row>
    <row r="106" spans="2:20" ht="14.25" customHeight="1" x14ac:dyDescent="0.25">
      <c r="B106" s="72" t="s">
        <v>155</v>
      </c>
      <c r="M106" s="87"/>
      <c r="N106" s="88"/>
      <c r="O106" s="88"/>
      <c r="P106" s="88"/>
      <c r="Q106" s="88"/>
      <c r="R106" s="88"/>
      <c r="S106" s="87"/>
      <c r="T106" s="89"/>
    </row>
    <row r="107" spans="2:20" ht="14.25" customHeight="1" x14ac:dyDescent="0.2">
      <c r="B107" s="165"/>
      <c r="C107" s="166" t="s">
        <v>9</v>
      </c>
      <c r="D107" s="166" t="s">
        <v>10</v>
      </c>
      <c r="E107" s="166" t="s">
        <v>11</v>
      </c>
      <c r="F107" s="166" t="s">
        <v>12</v>
      </c>
      <c r="G107" s="167" t="s">
        <v>13</v>
      </c>
      <c r="M107" s="87"/>
      <c r="N107" s="88"/>
      <c r="O107" s="88"/>
      <c r="P107" s="88"/>
      <c r="Q107" s="88"/>
      <c r="R107" s="88"/>
      <c r="S107" s="87"/>
      <c r="T107" s="89"/>
    </row>
    <row r="108" spans="2:20" ht="25.5" x14ac:dyDescent="0.2">
      <c r="B108" s="168" t="s">
        <v>166</v>
      </c>
      <c r="C108" s="170">
        <f>'Tenure Split (WALES)'!C108</f>
        <v>0.3</v>
      </c>
      <c r="D108" s="170">
        <f>'Tenure Split (WALES)'!D108</f>
        <v>0.3</v>
      </c>
      <c r="E108" s="170">
        <f>'Tenure Split (WALES)'!E108</f>
        <v>0.3</v>
      </c>
      <c r="F108" s="170">
        <f>'Tenure Split (WALES)'!F108</f>
        <v>0.3</v>
      </c>
      <c r="G108" s="171">
        <f>'Tenure Split (WALES)'!G108</f>
        <v>0.3</v>
      </c>
      <c r="O108" s="88"/>
      <c r="P108" s="88"/>
      <c r="Q108" s="88"/>
      <c r="R108" s="88"/>
      <c r="S108" s="87"/>
      <c r="T108" s="89"/>
    </row>
    <row r="109" spans="2:20" ht="25.5" x14ac:dyDescent="0.2">
      <c r="B109" s="168" t="s">
        <v>168</v>
      </c>
      <c r="C109" s="170">
        <f>'Tenure Split (WALES)'!C109</f>
        <v>3.5377362656780903E-2</v>
      </c>
      <c r="D109" s="170">
        <f>'Tenure Split (WALES)'!D109</f>
        <v>2.571119448209791E-2</v>
      </c>
      <c r="E109" s="170">
        <f>'Tenure Split (WALES)'!E109</f>
        <v>3.2803011550502595E-2</v>
      </c>
      <c r="F109" s="170">
        <f>'Tenure Split (WALES)'!F109</f>
        <v>3.70858525612624E-2</v>
      </c>
      <c r="G109" s="171">
        <f>'Tenure Split (WALES)'!G109</f>
        <v>3.8062223065459387E-2</v>
      </c>
      <c r="O109" s="88"/>
      <c r="P109" s="88"/>
      <c r="Q109" s="88"/>
      <c r="R109" s="88"/>
      <c r="S109" s="87"/>
      <c r="T109" s="89"/>
    </row>
    <row r="110" spans="2:20" ht="38.25" x14ac:dyDescent="0.2">
      <c r="B110" s="168" t="s">
        <v>169</v>
      </c>
      <c r="C110" s="170">
        <f>'Tenure Split (WALES)'!C110</f>
        <v>0.01</v>
      </c>
      <c r="D110" s="170">
        <f>'Tenure Split (WALES)'!D110</f>
        <v>0.01</v>
      </c>
      <c r="E110" s="170">
        <f>'Tenure Split (WALES)'!E110</f>
        <v>0.01</v>
      </c>
      <c r="F110" s="170">
        <f>'Tenure Split (WALES)'!F110</f>
        <v>0.01</v>
      </c>
      <c r="G110" s="171">
        <f>'Tenure Split (WALES)'!G110</f>
        <v>0.01</v>
      </c>
      <c r="O110" s="88"/>
      <c r="P110" s="88"/>
      <c r="Q110" s="88"/>
      <c r="R110" s="88"/>
      <c r="S110" s="87"/>
      <c r="T110" s="89"/>
    </row>
    <row r="111" spans="2:20" ht="25.5" x14ac:dyDescent="0.2">
      <c r="B111" s="168" t="s">
        <v>171</v>
      </c>
      <c r="C111" s="170">
        <f>'Tenure Split (WALES)'!C111</f>
        <v>2.9066130553574002E-2</v>
      </c>
      <c r="D111" s="170">
        <f>'Tenure Split (WALES)'!D111</f>
        <v>2.9536238937667179E-2</v>
      </c>
      <c r="E111" s="170">
        <f>'Tenure Split (WALES)'!E111</f>
        <v>3.0600923725820621E-2</v>
      </c>
      <c r="F111" s="170">
        <f>'Tenure Split (WALES)'!F111</f>
        <v>3.1212408697362831E-2</v>
      </c>
      <c r="G111" s="171">
        <f>'Tenure Split (WALES)'!G111</f>
        <v>3.1716449662899181E-2</v>
      </c>
      <c r="O111" s="88"/>
      <c r="P111" s="88"/>
      <c r="Q111" s="88"/>
      <c r="R111" s="88"/>
      <c r="S111" s="87"/>
      <c r="T111" s="89"/>
    </row>
    <row r="112" spans="2:20" x14ac:dyDescent="0.2">
      <c r="B112" s="168" t="s">
        <v>138</v>
      </c>
      <c r="C112" s="172">
        <f>INDEX('Rental Prices'!$D$19:$D$20,MATCH('Tenure Split (Mid and SW Wales)'!$D$9,'Rental Prices'!$B$19:$B$20,0))*(1+C111)</f>
        <v>6112.6528154882299</v>
      </c>
      <c r="D112" s="172">
        <f>C112*(1+D111)</f>
        <v>6293.1975895894948</v>
      </c>
      <c r="E112" s="172">
        <f t="shared" ref="E112:G112" si="6">D112*(1+E111)</f>
        <v>6485.7752490200419</v>
      </c>
      <c r="F112" s="172">
        <f t="shared" si="6"/>
        <v>6688.211916811696</v>
      </c>
      <c r="G112" s="173">
        <f t="shared" si="6"/>
        <v>6900.3382534060565</v>
      </c>
      <c r="O112" s="88"/>
      <c r="P112" s="88"/>
      <c r="Q112" s="88"/>
      <c r="R112" s="88"/>
      <c r="S112" s="87"/>
      <c r="T112" s="89"/>
    </row>
    <row r="113" spans="2:20" ht="25.5" x14ac:dyDescent="0.2">
      <c r="B113" s="168" t="s">
        <v>139</v>
      </c>
      <c r="C113" s="172">
        <f>INDEX('Rental Prices'!$C$19:$C$20,MATCH('Tenure Split (Mid and SW Wales)'!$D$9,'Rental Prices'!$B$19:$B$20,0))*(1+C111)</f>
        <v>5556.9571049892993</v>
      </c>
      <c r="D113" s="172">
        <f>C113*(1+D111)</f>
        <v>5721.0887178086305</v>
      </c>
      <c r="E113" s="172">
        <f t="shared" ref="E113:G113" si="7">D113*(1+E111)</f>
        <v>5896.1593172909452</v>
      </c>
      <c r="F113" s="172">
        <f t="shared" si="7"/>
        <v>6080.1926516469939</v>
      </c>
      <c r="G113" s="173">
        <f t="shared" si="7"/>
        <v>6273.0347758236858</v>
      </c>
      <c r="O113" s="88"/>
      <c r="P113" s="88"/>
      <c r="Q113" s="88"/>
      <c r="R113" s="88"/>
      <c r="S113" s="87"/>
      <c r="T113" s="89"/>
    </row>
    <row r="114" spans="2:20" x14ac:dyDescent="0.2">
      <c r="B114" s="164" t="s">
        <v>161</v>
      </c>
      <c r="C114" s="174">
        <f>'Tenure Split (WALES)'!C114</f>
        <v>3.8</v>
      </c>
      <c r="D114" s="174">
        <f>'Tenure Split (WALES)'!D114</f>
        <v>3.8</v>
      </c>
      <c r="E114" s="174">
        <f>'Tenure Split (WALES)'!E114</f>
        <v>3.8</v>
      </c>
      <c r="F114" s="174">
        <f>'Tenure Split (WALES)'!F114</f>
        <v>3.8</v>
      </c>
      <c r="G114" s="175">
        <f>'Tenure Split (WALES)'!G114</f>
        <v>3.8</v>
      </c>
      <c r="O114" s="88"/>
      <c r="P114" s="88"/>
      <c r="Q114" s="88"/>
      <c r="R114" s="88"/>
      <c r="S114" s="87"/>
      <c r="T114" s="89"/>
    </row>
    <row r="115" spans="2:20" ht="25.5" x14ac:dyDescent="0.2">
      <c r="B115" s="164" t="s">
        <v>45</v>
      </c>
      <c r="C115" s="174">
        <f>'Tenure Split (WALES)'!C115</f>
        <v>25</v>
      </c>
      <c r="D115" s="174">
        <f>'Tenure Split (WALES)'!D115</f>
        <v>25</v>
      </c>
      <c r="E115" s="174">
        <f>'Tenure Split (WALES)'!E115</f>
        <v>25</v>
      </c>
      <c r="F115" s="174">
        <f>'Tenure Split (WALES)'!F115</f>
        <v>25</v>
      </c>
      <c r="G115" s="175">
        <f>'Tenure Split (WALES)'!G115</f>
        <v>25</v>
      </c>
      <c r="O115" s="88"/>
      <c r="P115" s="88"/>
      <c r="Q115" s="88"/>
      <c r="R115" s="88"/>
      <c r="S115" s="87"/>
      <c r="T115" s="89"/>
    </row>
    <row r="116" spans="2:20" ht="25.5" x14ac:dyDescent="0.2">
      <c r="B116" s="164" t="s">
        <v>165</v>
      </c>
      <c r="C116" s="176" t="str">
        <f>'Tenure Split (WALES)'!C116</f>
        <v>-</v>
      </c>
      <c r="D116" s="176" t="str">
        <f>'Tenure Split (WALES)'!D116</f>
        <v>-</v>
      </c>
      <c r="E116" s="176" t="str">
        <f>'Tenure Split (WALES)'!E116</f>
        <v>-</v>
      </c>
      <c r="F116" s="176" t="str">
        <f>'Tenure Split (WALES)'!F116</f>
        <v>-</v>
      </c>
      <c r="G116" s="177" t="str">
        <f>'Tenure Split (WALES)'!G116</f>
        <v>-</v>
      </c>
      <c r="O116" s="88"/>
      <c r="P116" s="88"/>
      <c r="Q116" s="88"/>
      <c r="R116" s="88"/>
      <c r="S116" s="87"/>
      <c r="T116" s="89"/>
    </row>
    <row r="117" spans="2:20" ht="25.5" x14ac:dyDescent="0.2">
      <c r="B117" s="164" t="s">
        <v>167</v>
      </c>
      <c r="C117" s="176">
        <f>'Tenure Split (WALES)'!C117</f>
        <v>0.35</v>
      </c>
      <c r="D117" s="176">
        <f>'Tenure Split (WALES)'!D117</f>
        <v>0.35</v>
      </c>
      <c r="E117" s="176">
        <f>'Tenure Split (WALES)'!E117</f>
        <v>0.35</v>
      </c>
      <c r="F117" s="176">
        <f>'Tenure Split (WALES)'!F117</f>
        <v>0.35</v>
      </c>
      <c r="G117" s="177">
        <f>'Tenure Split (WALES)'!G117</f>
        <v>0.35</v>
      </c>
      <c r="O117" s="88"/>
      <c r="P117" s="88"/>
      <c r="Q117" s="88"/>
      <c r="R117" s="88"/>
      <c r="S117" s="87"/>
      <c r="T117" s="89"/>
    </row>
    <row r="118" spans="2:20" ht="25.5" x14ac:dyDescent="0.2">
      <c r="B118" s="169" t="s">
        <v>170</v>
      </c>
      <c r="C118" s="178">
        <f>'Tenure Split (WALES)'!C118</f>
        <v>2.8405585293094449E-2</v>
      </c>
      <c r="D118" s="178">
        <f>'Tenure Split (WALES)'!D118</f>
        <v>2.2265547421218557E-3</v>
      </c>
      <c r="E118" s="178">
        <f>'Tenure Split (WALES)'!E118</f>
        <v>2.1524380028468126E-2</v>
      </c>
      <c r="F118" s="178">
        <f>'Tenure Split (WALES)'!F118</f>
        <v>3.8999168521062666E-2</v>
      </c>
      <c r="G118" s="179">
        <f>'Tenure Split (WALES)'!G118</f>
        <v>4.147992390238664E-2</v>
      </c>
      <c r="O118" s="88"/>
      <c r="P118" s="88"/>
      <c r="Q118" s="88"/>
      <c r="R118" s="88"/>
      <c r="S118" s="87"/>
      <c r="T118" s="89"/>
    </row>
    <row r="119" spans="2:20" ht="14.25" customHeight="1" x14ac:dyDescent="0.2">
      <c r="C119" s="74"/>
      <c r="M119" s="87"/>
      <c r="N119" s="88"/>
      <c r="O119" s="88"/>
      <c r="P119" s="88"/>
      <c r="Q119" s="88"/>
      <c r="R119" s="88"/>
      <c r="S119" s="87"/>
      <c r="T119" s="89"/>
    </row>
    <row r="120" spans="2:20" ht="14.25" hidden="1" customHeight="1" x14ac:dyDescent="0.2">
      <c r="B120" s="117" t="s">
        <v>118</v>
      </c>
      <c r="C120" s="118"/>
      <c r="L120" s="87"/>
      <c r="M120" s="88"/>
      <c r="N120" s="88"/>
      <c r="O120" s="88"/>
      <c r="P120" s="88"/>
      <c r="R120" s="88"/>
      <c r="S120" s="87"/>
      <c r="T120" s="89"/>
    </row>
    <row r="121" spans="2:20" ht="14.25" hidden="1" customHeight="1" x14ac:dyDescent="0.2">
      <c r="B121" s="117" t="s">
        <v>51</v>
      </c>
      <c r="C121" s="119" t="s">
        <v>79</v>
      </c>
      <c r="G121" s="87"/>
      <c r="L121" s="87"/>
      <c r="M121" s="87"/>
      <c r="N121" s="87"/>
      <c r="O121" s="87"/>
      <c r="P121" s="87"/>
      <c r="R121" s="87"/>
      <c r="S121" s="87"/>
      <c r="T121" s="87"/>
    </row>
    <row r="122" spans="2:20" ht="14.25" hidden="1" customHeight="1" x14ac:dyDescent="0.2">
      <c r="B122" s="118" t="s">
        <v>52</v>
      </c>
      <c r="C122" s="118">
        <f>IF(E6="Y",0,1)</f>
        <v>0</v>
      </c>
      <c r="G122" s="87"/>
    </row>
    <row r="123" spans="2:20" ht="14.25" hidden="1" customHeight="1" x14ac:dyDescent="0.2">
      <c r="B123" s="118" t="s">
        <v>23</v>
      </c>
      <c r="C123" s="118">
        <f>IF(E7="Y",0,1)</f>
        <v>0</v>
      </c>
      <c r="G123" s="87"/>
    </row>
    <row r="124" spans="2:20" ht="14.25" hidden="1" customHeight="1" x14ac:dyDescent="0.2">
      <c r="B124" s="118" t="s">
        <v>53</v>
      </c>
      <c r="C124" s="118">
        <f>IF(E8="Y",0,1)</f>
        <v>0</v>
      </c>
      <c r="G124" s="87"/>
    </row>
    <row r="125" spans="2:20" ht="14.25" hidden="1" customHeight="1" x14ac:dyDescent="0.2">
      <c r="B125" s="118" t="s">
        <v>21</v>
      </c>
      <c r="C125" s="118">
        <f>IF(E9="Y",0,1)</f>
        <v>0</v>
      </c>
      <c r="G125" s="87"/>
    </row>
    <row r="126" spans="2:20" ht="14.25" hidden="1" customHeight="1" x14ac:dyDescent="0.2">
      <c r="B126" s="117" t="s">
        <v>50</v>
      </c>
      <c r="C126" s="118"/>
      <c r="G126" s="87"/>
    </row>
    <row r="127" spans="2:20" ht="14.25" hidden="1" customHeight="1" x14ac:dyDescent="0.2">
      <c r="B127" s="118" t="s">
        <v>18</v>
      </c>
      <c r="C127" s="118">
        <f>IF(E11="Y",0,1)</f>
        <v>0</v>
      </c>
      <c r="G127" s="87"/>
    </row>
    <row r="128" spans="2:20" ht="14.25" hidden="1" customHeight="1" x14ac:dyDescent="0.2">
      <c r="B128" s="118" t="s">
        <v>55</v>
      </c>
      <c r="C128" s="118">
        <f>IF(E12="Y",0,1)</f>
        <v>0</v>
      </c>
      <c r="G128" s="87"/>
    </row>
    <row r="129" spans="2:7" ht="14.25" hidden="1" customHeight="1" x14ac:dyDescent="0.2">
      <c r="B129" s="117" t="s">
        <v>56</v>
      </c>
      <c r="C129" s="118"/>
      <c r="G129" s="87"/>
    </row>
    <row r="130" spans="2:7" ht="14.25" hidden="1" customHeight="1" x14ac:dyDescent="0.2">
      <c r="B130" s="118" t="s">
        <v>57</v>
      </c>
      <c r="C130" s="118">
        <f>IF(E14="Y",0,1)</f>
        <v>0</v>
      </c>
      <c r="G130" s="87"/>
    </row>
    <row r="131" spans="2:7" ht="14.25" hidden="1" customHeight="1" x14ac:dyDescent="0.2">
      <c r="B131" s="118" t="s">
        <v>58</v>
      </c>
      <c r="C131" s="118">
        <f>IF(E15="Y",0,1)</f>
        <v>0</v>
      </c>
      <c r="G131" s="87"/>
    </row>
    <row r="132" spans="2:7" ht="14.25" hidden="1" customHeight="1" x14ac:dyDescent="0.2">
      <c r="B132" s="118" t="s">
        <v>60</v>
      </c>
      <c r="C132" s="118">
        <f>IF(E16="Y",0,1)</f>
        <v>0</v>
      </c>
      <c r="G132" s="87"/>
    </row>
    <row r="133" spans="2:7" ht="14.25" hidden="1" customHeight="1" x14ac:dyDescent="0.2">
      <c r="B133" s="118" t="s">
        <v>119</v>
      </c>
      <c r="C133" s="118">
        <f>IF(SUM(C122:C132)&gt;0,1,0)</f>
        <v>0</v>
      </c>
      <c r="G133" s="87"/>
    </row>
    <row r="134" spans="2:7" ht="14.25" hidden="1" customHeight="1" x14ac:dyDescent="0.2">
      <c r="G134" s="87"/>
    </row>
    <row r="135" spans="2:7" ht="14.25" hidden="1" customHeight="1" x14ac:dyDescent="0.2">
      <c r="B135" s="113" t="s">
        <v>120</v>
      </c>
      <c r="C135" s="114"/>
      <c r="G135" s="87"/>
    </row>
    <row r="136" spans="2:7" ht="14.25" hidden="1" customHeight="1" x14ac:dyDescent="0.2">
      <c r="B136" s="113" t="s">
        <v>51</v>
      </c>
      <c r="C136" s="114"/>
      <c r="G136" s="87"/>
    </row>
    <row r="137" spans="2:7" ht="14.25" hidden="1" customHeight="1" x14ac:dyDescent="0.2">
      <c r="B137" s="114" t="s">
        <v>54</v>
      </c>
      <c r="C137" s="114">
        <f>IF(E18="Y",0,1)</f>
        <v>0</v>
      </c>
      <c r="G137" s="87"/>
    </row>
    <row r="138" spans="2:7" ht="14.25" hidden="1" customHeight="1" x14ac:dyDescent="0.2">
      <c r="B138" s="113" t="s">
        <v>50</v>
      </c>
      <c r="C138" s="114"/>
      <c r="G138" s="87"/>
    </row>
    <row r="139" spans="2:7" ht="14.25" hidden="1" customHeight="1" x14ac:dyDescent="0.2">
      <c r="B139" s="114" t="s">
        <v>16</v>
      </c>
      <c r="C139" s="114">
        <f>IF(E20="Y",0,1)</f>
        <v>0</v>
      </c>
      <c r="G139" s="87"/>
    </row>
    <row r="140" spans="2:7" ht="18.75" hidden="1" customHeight="1" x14ac:dyDescent="0.2">
      <c r="B140" s="114" t="s">
        <v>22</v>
      </c>
      <c r="C140" s="114">
        <f>IF(E21="Y",0,1)</f>
        <v>0</v>
      </c>
      <c r="G140" s="87"/>
    </row>
    <row r="141" spans="2:7" ht="18.75" hidden="1" customHeight="1" x14ac:dyDescent="0.2">
      <c r="B141" s="114" t="s">
        <v>17</v>
      </c>
      <c r="C141" s="114">
        <f>IF(E22="Y",0,1)</f>
        <v>1</v>
      </c>
      <c r="G141" s="87"/>
    </row>
    <row r="142" spans="2:7" hidden="1" x14ac:dyDescent="0.2">
      <c r="B142" s="114" t="s">
        <v>19</v>
      </c>
      <c r="C142" s="114">
        <f>IF(E23="Y",0,1)</f>
        <v>0</v>
      </c>
    </row>
    <row r="143" spans="2:7" hidden="1" x14ac:dyDescent="0.2">
      <c r="B143" s="113" t="s">
        <v>56</v>
      </c>
      <c r="C143" s="114"/>
    </row>
    <row r="144" spans="2:7" hidden="1" x14ac:dyDescent="0.2">
      <c r="B144" s="114" t="s">
        <v>59</v>
      </c>
      <c r="C144" s="114">
        <f>IF(E25="Y",0,1)</f>
        <v>0</v>
      </c>
    </row>
    <row r="145" spans="2:10" hidden="1" x14ac:dyDescent="0.2">
      <c r="B145" s="114" t="s">
        <v>121</v>
      </c>
      <c r="C145" s="114">
        <f>IF(SUM(C133,C137:C144)=0,0,1)</f>
        <v>1</v>
      </c>
    </row>
    <row r="146" spans="2:10" hidden="1" x14ac:dyDescent="0.2">
      <c r="C146" s="90"/>
      <c r="D146" s="90"/>
      <c r="E146" s="90"/>
      <c r="F146" s="90"/>
      <c r="G146" s="90"/>
      <c r="I146" s="90"/>
    </row>
    <row r="147" spans="2:10" hidden="1" x14ac:dyDescent="0.2">
      <c r="B147" s="117" t="s">
        <v>122</v>
      </c>
      <c r="C147" s="118"/>
      <c r="D147" s="118"/>
      <c r="E147" s="118"/>
      <c r="F147" s="118"/>
      <c r="G147" s="118"/>
      <c r="H147" s="118"/>
      <c r="I147" s="118"/>
      <c r="J147" s="118"/>
    </row>
    <row r="148" spans="2:10" hidden="1" x14ac:dyDescent="0.2">
      <c r="B148" s="118" t="str">
        <f>IF(C133=1,"Please complete table to view figures.","")</f>
        <v/>
      </c>
      <c r="C148" s="118" t="str">
        <f>IF($C$133=0,"2018/19","")</f>
        <v>2018/19</v>
      </c>
      <c r="D148" s="118" t="str">
        <f>IF($C$133=0,"2019/20","")</f>
        <v>2019/20</v>
      </c>
      <c r="E148" s="118" t="str">
        <f>IF($C$133=0,"2020/21","")</f>
        <v>2020/21</v>
      </c>
      <c r="F148" s="118" t="str">
        <f>IF($C$133=0,"2021/22","")</f>
        <v>2021/22</v>
      </c>
      <c r="G148" s="118" t="str">
        <f>IF($C$133=0,"2022/23","")</f>
        <v>2022/23</v>
      </c>
      <c r="H148" s="118"/>
      <c r="I148" s="118"/>
      <c r="J148" s="118"/>
    </row>
    <row r="149" spans="2:10" hidden="1" x14ac:dyDescent="0.2">
      <c r="B149" s="118" t="str">
        <f>IF($C$133=0,"Market Housing","")</f>
        <v>Market Housing</v>
      </c>
      <c r="C149" s="120">
        <f>IF($C$133=0,'Workings - Mid and SW Wales'!C29,"")</f>
        <v>1123.92</v>
      </c>
      <c r="D149" s="120">
        <f>IF($C$133=0,'Workings - Mid and SW Wales'!D29,"")</f>
        <v>1076.67</v>
      </c>
      <c r="E149" s="120">
        <f>IF($C$133=0,'Workings - Mid and SW Wales'!E29,"")</f>
        <v>1076.04</v>
      </c>
      <c r="F149" s="120">
        <f>IF($C$133=0,'Workings - Mid and SW Wales'!F29,"")</f>
        <v>1151.01</v>
      </c>
      <c r="G149" s="120">
        <f>IF($C$133=0,'Workings - Mid and SW Wales'!G29,"")</f>
        <v>1072.26</v>
      </c>
      <c r="H149" s="118"/>
      <c r="I149" s="118"/>
      <c r="J149" s="118"/>
    </row>
    <row r="150" spans="2:10" hidden="1" x14ac:dyDescent="0.2">
      <c r="B150" s="118" t="str">
        <f>IF($C$133=0,"Affordable Housing","")</f>
        <v>Affordable Housing</v>
      </c>
      <c r="C150" s="120">
        <f>IF($C$133=0,'Workings - Mid and SW Wales'!C30,"")</f>
        <v>890.67999999999984</v>
      </c>
      <c r="D150" s="120">
        <f>IF($C$133=0,'Workings - Mid and SW Wales'!D30,"")</f>
        <v>862.92999999999984</v>
      </c>
      <c r="E150" s="120">
        <f>IF($C$133=0,'Workings - Mid and SW Wales'!E30,"")</f>
        <v>862.56</v>
      </c>
      <c r="F150" s="120">
        <f>IF($C$133=0,'Workings - Mid and SW Wales'!F30,"")</f>
        <v>906.58999999999992</v>
      </c>
      <c r="G150" s="120">
        <f>IF($C$133=0,'Workings - Mid and SW Wales'!G30,"")</f>
        <v>860.33999999999992</v>
      </c>
      <c r="H150" s="118"/>
      <c r="I150" s="118"/>
      <c r="J150" s="118"/>
    </row>
    <row r="151" spans="2:10" hidden="1" x14ac:dyDescent="0.2">
      <c r="B151" s="118" t="str">
        <f>IF(C133=1,"Please complete table to view figures.","")</f>
        <v/>
      </c>
      <c r="C151" s="118" t="str">
        <f>IF($C$133=0,"2018/19","")</f>
        <v>2018/19</v>
      </c>
      <c r="D151" s="118" t="str">
        <f>IF($C$133=0,"2019/20","")</f>
        <v>2019/20</v>
      </c>
      <c r="E151" s="118" t="str">
        <f>IF($C$133=0,"2020/21","")</f>
        <v>2020/21</v>
      </c>
      <c r="F151" s="118" t="str">
        <f>IF($C$133=0,"2021/22","")</f>
        <v>2021/22</v>
      </c>
      <c r="G151" s="118" t="str">
        <f>IF($C$133=0,"2022/23","")</f>
        <v>2022/23</v>
      </c>
      <c r="H151" s="118"/>
      <c r="I151" s="118" t="str">
        <f>IF($C$133=1,"","Overall 5 Year Split")</f>
        <v>Overall 5 Year Split</v>
      </c>
      <c r="J151" s="118"/>
    </row>
    <row r="152" spans="2:10" hidden="1" x14ac:dyDescent="0.2">
      <c r="B152" s="118" t="str">
        <f>IF($C$133=0,"Market Housing","")</f>
        <v>Market Housing</v>
      </c>
      <c r="C152" s="121">
        <f>IF($C$133=1,"",C149/SUM(C$149:C$150))</f>
        <v>0.55788742182070894</v>
      </c>
      <c r="D152" s="121">
        <f t="shared" ref="D152:G153" si="8">IF($C$133=1,"",D149/SUM(D$149:D$150))</f>
        <v>0.55509898948236758</v>
      </c>
      <c r="E152" s="121">
        <f t="shared" si="8"/>
        <v>0.55506035283194055</v>
      </c>
      <c r="F152" s="121">
        <f t="shared" si="8"/>
        <v>0.55939444012441686</v>
      </c>
      <c r="G152" s="121">
        <f t="shared" si="8"/>
        <v>0.55482769326296189</v>
      </c>
      <c r="H152" s="118"/>
      <c r="I152" s="121">
        <f>IF($C$133=1,"",SUM(C149:G149)/SUM($C$149:$G$150))</f>
        <v>0.55650106243043618</v>
      </c>
      <c r="J152" s="118"/>
    </row>
    <row r="153" spans="2:10" hidden="1" x14ac:dyDescent="0.2">
      <c r="B153" s="118" t="str">
        <f>IF($C$133=0,"Affordable","")</f>
        <v>Affordable</v>
      </c>
      <c r="C153" s="121">
        <f>IF($C$133=1,"",C150/SUM(C$149:C$150))</f>
        <v>0.44211257817929112</v>
      </c>
      <c r="D153" s="121">
        <f t="shared" si="8"/>
        <v>0.44490101051763242</v>
      </c>
      <c r="E153" s="121">
        <f t="shared" si="8"/>
        <v>0.44493964716805939</v>
      </c>
      <c r="F153" s="121">
        <f t="shared" si="8"/>
        <v>0.4406055598755832</v>
      </c>
      <c r="G153" s="121">
        <f t="shared" si="8"/>
        <v>0.44517230673703817</v>
      </c>
      <c r="H153" s="118"/>
      <c r="I153" s="121">
        <f>IF($C$133=1,"",SUM(C150:G150)/SUM($C$149:$G$150))</f>
        <v>0.44349893756956382</v>
      </c>
      <c r="J153" s="118"/>
    </row>
    <row r="154" spans="2:10" hidden="1" x14ac:dyDescent="0.2">
      <c r="C154" s="90"/>
      <c r="D154" s="90"/>
      <c r="E154" s="90"/>
      <c r="F154" s="90"/>
      <c r="G154" s="90"/>
      <c r="I154" s="90"/>
    </row>
    <row r="155" spans="2:10" hidden="1" x14ac:dyDescent="0.2">
      <c r="C155" s="90"/>
      <c r="D155" s="90"/>
      <c r="E155" s="90"/>
      <c r="F155" s="90"/>
      <c r="G155" s="90"/>
      <c r="I155" s="90"/>
    </row>
    <row r="156" spans="2:10" hidden="1" x14ac:dyDescent="0.2">
      <c r="B156" s="113" t="s">
        <v>117</v>
      </c>
      <c r="C156" s="114"/>
      <c r="D156" s="114"/>
      <c r="E156" s="114"/>
      <c r="F156" s="114"/>
      <c r="G156" s="114"/>
      <c r="H156" s="114"/>
      <c r="I156" s="114"/>
      <c r="J156" s="114"/>
    </row>
    <row r="157" spans="2:10" hidden="1" x14ac:dyDescent="0.2">
      <c r="B157" s="114" t="str">
        <f>IF(C145=1,"Please complete table to view estimates split into 4 tenures.","")</f>
        <v>Please complete table to view estimates split into 4 tenures.</v>
      </c>
      <c r="C157" s="114" t="str">
        <f>IF($C$145=0,"2018/19","")</f>
        <v/>
      </c>
      <c r="D157" s="114" t="str">
        <f>IF($C$145=0,"2019/20","")</f>
        <v/>
      </c>
      <c r="E157" s="114" t="str">
        <f>IF($C$145=0,"2020/21","")</f>
        <v/>
      </c>
      <c r="F157" s="114" t="str">
        <f>IF($C$145=0,"2021/22","")</f>
        <v/>
      </c>
      <c r="G157" s="114" t="str">
        <f>IF($C$145=0,"2022/23","")</f>
        <v/>
      </c>
      <c r="H157" s="114"/>
      <c r="I157" s="114"/>
      <c r="J157" s="114"/>
    </row>
    <row r="158" spans="2:10" hidden="1" x14ac:dyDescent="0.2">
      <c r="B158" s="114" t="str">
        <f>IF($C$145=0,"Owner Occupier","")</f>
        <v/>
      </c>
      <c r="C158" s="115" t="str">
        <f>IF($C$145=0,'Workings - Mid and SW Wales'!C59,"")</f>
        <v/>
      </c>
      <c r="D158" s="115" t="str">
        <f>IF($C$145=0,'Workings - Mid and SW Wales'!D59,"")</f>
        <v/>
      </c>
      <c r="E158" s="115" t="str">
        <f>IF($C$145=0,'Workings - Mid and SW Wales'!E59,"")</f>
        <v/>
      </c>
      <c r="F158" s="115" t="str">
        <f>IF($C$145=0,'Workings - Mid and SW Wales'!F59,"")</f>
        <v/>
      </c>
      <c r="G158" s="115" t="str">
        <f>IF($C$145=0,'Workings - Mid and SW Wales'!G59,"")</f>
        <v/>
      </c>
      <c r="H158" s="114"/>
      <c r="I158" s="114"/>
      <c r="J158" s="114"/>
    </row>
    <row r="159" spans="2:10" hidden="1" x14ac:dyDescent="0.2">
      <c r="B159" s="114" t="str">
        <f>IF($C$145=0,"PRS","")</f>
        <v/>
      </c>
      <c r="C159" s="115" t="str">
        <f>IF($C$145=0,'Workings - Mid and SW Wales'!C60,"")</f>
        <v/>
      </c>
      <c r="D159" s="115" t="str">
        <f>IF($C$145=0,'Workings - Mid and SW Wales'!D60,"")</f>
        <v/>
      </c>
      <c r="E159" s="115" t="str">
        <f>IF($C$145=0,'Workings - Mid and SW Wales'!E60,"")</f>
        <v/>
      </c>
      <c r="F159" s="115" t="str">
        <f>IF($C$145=0,'Workings - Mid and SW Wales'!F60,"")</f>
        <v/>
      </c>
      <c r="G159" s="115" t="str">
        <f>IF($C$145=0,'Workings - Mid and SW Wales'!G60,"")</f>
        <v/>
      </c>
      <c r="H159" s="114"/>
      <c r="I159" s="114"/>
      <c r="J159" s="114"/>
    </row>
    <row r="160" spans="2:10" hidden="1" x14ac:dyDescent="0.2">
      <c r="B160" s="114" t="str">
        <f>IF($C$145=0,"Social","")</f>
        <v/>
      </c>
      <c r="C160" s="115" t="str">
        <f>IF($C$145=0,'Workings - Mid and SW Wales'!C61,"")</f>
        <v/>
      </c>
      <c r="D160" s="115" t="str">
        <f>IF($C$145=0,'Workings - Mid and SW Wales'!D61,"")</f>
        <v/>
      </c>
      <c r="E160" s="115" t="str">
        <f>IF($C$145=0,'Workings - Mid and SW Wales'!E61,"")</f>
        <v/>
      </c>
      <c r="F160" s="115" t="str">
        <f>IF($C$145=0,'Workings - Mid and SW Wales'!F61,"")</f>
        <v/>
      </c>
      <c r="G160" s="115" t="str">
        <f>IF($C$145=0,'Workings - Mid and SW Wales'!G61,"")</f>
        <v/>
      </c>
      <c r="H160" s="114"/>
      <c r="I160" s="114"/>
      <c r="J160" s="114"/>
    </row>
    <row r="161" spans="2:24" hidden="1" x14ac:dyDescent="0.2">
      <c r="B161" s="114" t="str">
        <f>IF($C$145=0,"Intermediate","")</f>
        <v/>
      </c>
      <c r="C161" s="115" t="str">
        <f>IF($C$145=0,'Workings - Mid and SW Wales'!C62,"")</f>
        <v/>
      </c>
      <c r="D161" s="115" t="str">
        <f>IF($C$145=0,'Workings - Mid and SW Wales'!D62,"")</f>
        <v/>
      </c>
      <c r="E161" s="115" t="str">
        <f>IF($C$145=0,'Workings - Mid and SW Wales'!E62,"")</f>
        <v/>
      </c>
      <c r="F161" s="115" t="str">
        <f>IF($C$145=0,'Workings - Mid and SW Wales'!F62,"")</f>
        <v/>
      </c>
      <c r="G161" s="115" t="str">
        <f>IF($C$145=0,'Workings - Mid and SW Wales'!G62,"")</f>
        <v/>
      </c>
      <c r="H161" s="114"/>
      <c r="I161" s="114"/>
      <c r="J161" s="114"/>
    </row>
    <row r="162" spans="2:24" hidden="1" x14ac:dyDescent="0.2">
      <c r="B162" s="114" t="str">
        <f>IF(C145=1,"Please complete table to view estimates split into 4 tenures.","")</f>
        <v>Please complete table to view estimates split into 4 tenures.</v>
      </c>
      <c r="C162" s="114" t="str">
        <f>IF($C$145=0,"2018/19","")</f>
        <v/>
      </c>
      <c r="D162" s="114" t="str">
        <f>IF($C$145=0,"2019/20","")</f>
        <v/>
      </c>
      <c r="E162" s="114" t="str">
        <f>IF($C$145=0,"2020/21","")</f>
        <v/>
      </c>
      <c r="F162" s="114" t="str">
        <f>IF($C$145=0,"2021/22","")</f>
        <v/>
      </c>
      <c r="G162" s="114" t="str">
        <f>IF($C$145=0,"2022/23","")</f>
        <v/>
      </c>
      <c r="H162" s="114"/>
      <c r="I162" s="118" t="str">
        <f>IF($C$145=1,"","Overall 5 Year Split")</f>
        <v/>
      </c>
      <c r="J162" s="114"/>
    </row>
    <row r="163" spans="2:24" hidden="1" x14ac:dyDescent="0.2">
      <c r="B163" s="114" t="str">
        <f>IF($C$145=0,"Owner Occupier","")</f>
        <v/>
      </c>
      <c r="C163" s="116" t="str">
        <f>IF($C$145=1,"",C158/SUM(C$158:C$161))</f>
        <v/>
      </c>
      <c r="D163" s="116" t="str">
        <f t="shared" ref="D163:G163" si="9">IF($C$145=1,"",D158/SUM(D$158:D$161))</f>
        <v/>
      </c>
      <c r="E163" s="116" t="str">
        <f t="shared" si="9"/>
        <v/>
      </c>
      <c r="F163" s="116" t="str">
        <f t="shared" si="9"/>
        <v/>
      </c>
      <c r="G163" s="116" t="str">
        <f t="shared" si="9"/>
        <v/>
      </c>
      <c r="H163" s="114"/>
      <c r="I163" s="116" t="str">
        <f>IF($C$145=1,"",SUM(C158:G158)/SUM($C$158:$G$161))</f>
        <v/>
      </c>
      <c r="J163" s="114"/>
    </row>
    <row r="164" spans="2:24" hidden="1" x14ac:dyDescent="0.2">
      <c r="B164" s="114" t="str">
        <f>IF($C$145=0,"PRS","")</f>
        <v/>
      </c>
      <c r="C164" s="116" t="str">
        <f t="shared" ref="C164:G166" si="10">IF($C$145=1,"",C159/SUM(C$158:C$161))</f>
        <v/>
      </c>
      <c r="D164" s="116" t="str">
        <f t="shared" si="10"/>
        <v/>
      </c>
      <c r="E164" s="116" t="str">
        <f t="shared" si="10"/>
        <v/>
      </c>
      <c r="F164" s="116" t="str">
        <f t="shared" si="10"/>
        <v/>
      </c>
      <c r="G164" s="116" t="str">
        <f t="shared" si="10"/>
        <v/>
      </c>
      <c r="H164" s="114"/>
      <c r="I164" s="116" t="str">
        <f t="shared" ref="I164:I166" si="11">IF($C$145=1,"",SUM(C159:G159)/SUM($C$158:$G$161))</f>
        <v/>
      </c>
      <c r="J164" s="114"/>
    </row>
    <row r="165" spans="2:24" hidden="1" x14ac:dyDescent="0.2">
      <c r="B165" s="114" t="str">
        <f>IF($C$145=0,"Social","")</f>
        <v/>
      </c>
      <c r="C165" s="116" t="str">
        <f t="shared" si="10"/>
        <v/>
      </c>
      <c r="D165" s="116" t="str">
        <f t="shared" si="10"/>
        <v/>
      </c>
      <c r="E165" s="116" t="str">
        <f t="shared" si="10"/>
        <v/>
      </c>
      <c r="F165" s="116" t="str">
        <f t="shared" si="10"/>
        <v/>
      </c>
      <c r="G165" s="116" t="str">
        <f t="shared" si="10"/>
        <v/>
      </c>
      <c r="H165" s="114"/>
      <c r="I165" s="116" t="str">
        <f t="shared" si="11"/>
        <v/>
      </c>
      <c r="J165" s="114"/>
    </row>
    <row r="166" spans="2:24" hidden="1" x14ac:dyDescent="0.2">
      <c r="B166" s="114" t="str">
        <f>IF($C$145=0,"Intermediate","")</f>
        <v/>
      </c>
      <c r="C166" s="116" t="str">
        <f>IF($C$145=1,"",C161/SUM(C$158:C$161))</f>
        <v/>
      </c>
      <c r="D166" s="116" t="str">
        <f t="shared" si="10"/>
        <v/>
      </c>
      <c r="E166" s="116" t="str">
        <f t="shared" si="10"/>
        <v/>
      </c>
      <c r="F166" s="116" t="str">
        <f t="shared" si="10"/>
        <v/>
      </c>
      <c r="G166" s="116" t="str">
        <f t="shared" si="10"/>
        <v/>
      </c>
      <c r="H166" s="114"/>
      <c r="I166" s="116" t="str">
        <f t="shared" si="11"/>
        <v/>
      </c>
      <c r="J166" s="114"/>
    </row>
    <row r="167" spans="2:24" hidden="1" x14ac:dyDescent="0.2">
      <c r="C167" s="90"/>
      <c r="D167" s="90"/>
      <c r="E167" s="90"/>
      <c r="F167" s="90"/>
      <c r="G167" s="90"/>
      <c r="I167" s="90"/>
    </row>
    <row r="168" spans="2:24" hidden="1" x14ac:dyDescent="0.2">
      <c r="B168" s="74" t="s">
        <v>93</v>
      </c>
      <c r="C168" s="90"/>
      <c r="D168" s="90"/>
      <c r="E168" s="90"/>
      <c r="F168" s="90"/>
      <c r="G168" s="90"/>
      <c r="I168" s="90"/>
    </row>
    <row r="169" spans="2:24" hidden="1" x14ac:dyDescent="0.2">
      <c r="C169" s="90" t="str">
        <f>"The below figures split the estimates of housing need for "&amp;D1&amp;" into two tenures and are based on the following assumptions."</f>
        <v>The below figures split the estimates of housing need for Mid and South West Wales into two tenures and are based on the following assumptions.</v>
      </c>
      <c r="D169" s="90" t="str">
        <f>"Following on from above, the estimates for "&amp;D1&amp;" are further split into four tenures. These estimates are produced by the user and are based on the following assumptions."</f>
        <v>Following on from above, the estimates for Mid and South West Wales are further split into four tenures. These estimates are produced by the user and are based on the following assumptions.</v>
      </c>
      <c r="E169" s="90" t="s">
        <v>98</v>
      </c>
      <c r="F169" s="90" t="s">
        <v>101</v>
      </c>
      <c r="G169" s="90" t="s">
        <v>99</v>
      </c>
      <c r="H169" s="90" t="s">
        <v>127</v>
      </c>
      <c r="I169" s="90" t="s">
        <v>100</v>
      </c>
      <c r="J169" s="75" t="e">
        <f>". First time buyers have an affordability ratio of "&amp;C175&amp;" and can enter the housing market at the "&amp;C176&amp;" percentile of the house price distribution. "&amp;C177</f>
        <v>#VALUE!</v>
      </c>
    </row>
    <row r="170" spans="2:24" hidden="1" x14ac:dyDescent="0.2">
      <c r="B170" s="75" t="s">
        <v>52</v>
      </c>
      <c r="C170" s="90" t="str">
        <f>IF(D6="User Projections","user's own household projections,","Welsh Government's "&amp;D6&amp;" 2014-based household projections")</f>
        <v>Welsh Government's Principal 2014-based household projections</v>
      </c>
      <c r="D170" s="90"/>
      <c r="E170" s="90"/>
      <c r="F170" s="90"/>
      <c r="G170" s="90"/>
      <c r="I170" s="90"/>
    </row>
    <row r="171" spans="2:24" ht="15" hidden="1" customHeight="1" x14ac:dyDescent="0.2">
      <c r="B171" s="75" t="s">
        <v>23</v>
      </c>
      <c r="C171" s="91" t="str">
        <f>IF(D7="WG Estimates",'Existing Unmet Need'!C10,'Existing Unmet Need'!C19)&amp;" households in existing unmet need"</f>
        <v>1153 households in existing unmet need</v>
      </c>
      <c r="D171" s="90"/>
      <c r="E171" s="90"/>
      <c r="F171" s="90"/>
      <c r="G171" s="90"/>
      <c r="J171" s="92"/>
      <c r="K171" s="92"/>
      <c r="L171" s="92"/>
      <c r="M171" s="92"/>
      <c r="N171" s="92"/>
      <c r="O171" s="92"/>
      <c r="P171" s="92"/>
      <c r="R171" s="92"/>
      <c r="S171" s="92"/>
      <c r="T171" s="92"/>
      <c r="U171" s="92"/>
      <c r="V171" s="92"/>
      <c r="W171" s="92"/>
      <c r="X171" s="92"/>
    </row>
    <row r="172" spans="2:24" hidden="1" x14ac:dyDescent="0.2">
      <c r="B172" s="75" t="s">
        <v>53</v>
      </c>
      <c r="C172" s="90" t="str">
        <f>IF(D8="Other", " user's own estimates "," Welsh Government estimates ")</f>
        <v xml:space="preserve"> Welsh Government estimates </v>
      </c>
      <c r="D172" s="90"/>
      <c r="E172" s="90"/>
      <c r="F172" s="90"/>
      <c r="G172" s="90"/>
      <c r="I172" s="92"/>
      <c r="J172" s="92"/>
      <c r="K172" s="92"/>
      <c r="L172" s="92"/>
      <c r="M172" s="92"/>
      <c r="N172" s="92"/>
      <c r="O172" s="92"/>
      <c r="P172" s="92"/>
      <c r="R172" s="92"/>
      <c r="S172" s="92"/>
      <c r="T172" s="92"/>
      <c r="U172" s="92"/>
      <c r="V172" s="92"/>
      <c r="W172" s="92"/>
      <c r="X172" s="92"/>
    </row>
    <row r="173" spans="2:24" hidden="1" x14ac:dyDescent="0.2">
      <c r="B173" s="75" t="s">
        <v>54</v>
      </c>
      <c r="C173" s="90" t="str">
        <f>IF(D18="Other", " user's own estimates"," Land Registry data")</f>
        <v xml:space="preserve"> Land Registry data</v>
      </c>
      <c r="D173" s="90"/>
      <c r="E173" s="90"/>
      <c r="F173" s="90"/>
      <c r="G173" s="90"/>
      <c r="I173" s="92"/>
      <c r="J173" s="92"/>
      <c r="K173" s="92"/>
      <c r="L173" s="92"/>
      <c r="M173" s="92"/>
      <c r="N173" s="92"/>
      <c r="O173" s="92"/>
      <c r="P173" s="92"/>
      <c r="R173" s="92"/>
      <c r="S173" s="92"/>
      <c r="T173" s="92"/>
      <c r="U173" s="92"/>
      <c r="V173" s="92"/>
      <c r="W173" s="92"/>
      <c r="X173" s="92"/>
    </row>
    <row r="174" spans="2:24" hidden="1" x14ac:dyDescent="0.2">
      <c r="B174" s="75" t="s">
        <v>21</v>
      </c>
      <c r="C174" s="90" t="str">
        <f>IF(D9="Other", " user's own estimates"," Welsh Government data")</f>
        <v xml:space="preserve"> Welsh Government data</v>
      </c>
      <c r="D174" s="90"/>
      <c r="E174" s="90"/>
      <c r="F174" s="90"/>
      <c r="G174" s="90"/>
      <c r="I174" s="92"/>
      <c r="J174" s="92"/>
      <c r="K174" s="92"/>
      <c r="L174" s="92"/>
      <c r="M174" s="92"/>
      <c r="N174" s="92"/>
      <c r="O174" s="92"/>
      <c r="P174" s="92"/>
      <c r="R174" s="92"/>
      <c r="S174" s="92"/>
      <c r="T174" s="92"/>
      <c r="U174" s="92"/>
      <c r="V174" s="92"/>
      <c r="W174" s="92"/>
      <c r="X174" s="92"/>
    </row>
    <row r="175" spans="2:24" hidden="1" x14ac:dyDescent="0.2">
      <c r="B175" s="75" t="s">
        <v>16</v>
      </c>
      <c r="C175" s="93">
        <f>C114</f>
        <v>3.8</v>
      </c>
      <c r="D175" s="90"/>
      <c r="E175" s="90"/>
      <c r="F175" s="90"/>
      <c r="G175" s="90"/>
      <c r="I175" s="92"/>
      <c r="J175" s="92"/>
      <c r="K175" s="92"/>
      <c r="L175" s="92"/>
      <c r="M175" s="92"/>
      <c r="N175" s="92"/>
      <c r="O175" s="92"/>
      <c r="P175" s="92"/>
      <c r="R175" s="92"/>
      <c r="S175" s="92"/>
      <c r="T175" s="92"/>
      <c r="U175" s="92"/>
      <c r="V175" s="92"/>
      <c r="W175" s="92"/>
      <c r="X175" s="92"/>
    </row>
    <row r="176" spans="2:24" hidden="1" x14ac:dyDescent="0.2">
      <c r="B176" s="75" t="s">
        <v>22</v>
      </c>
      <c r="C176" s="93">
        <f>C115</f>
        <v>25</v>
      </c>
      <c r="D176" s="90"/>
      <c r="E176" s="90"/>
      <c r="F176" s="90"/>
      <c r="G176" s="90"/>
      <c r="I176" s="92"/>
      <c r="J176" s="92"/>
      <c r="K176" s="92"/>
      <c r="L176" s="92"/>
      <c r="M176" s="92"/>
      <c r="N176" s="92"/>
      <c r="O176" s="92"/>
      <c r="P176" s="92"/>
      <c r="R176" s="92"/>
      <c r="S176" s="92"/>
      <c r="T176" s="92"/>
      <c r="U176" s="92"/>
      <c r="V176" s="92"/>
      <c r="W176" s="92"/>
      <c r="X176" s="92"/>
    </row>
    <row r="177" spans="2:23" hidden="1" x14ac:dyDescent="0.2">
      <c r="B177" s="75" t="s">
        <v>17</v>
      </c>
      <c r="C177" s="90" t="e">
        <f>C116*100&amp;"% of potential first time buyers go on to buy a property. "</f>
        <v>#VALUE!</v>
      </c>
      <c r="D177" s="90"/>
      <c r="E177" s="90"/>
      <c r="F177" s="90"/>
      <c r="G177" s="90"/>
      <c r="I177" s="92"/>
      <c r="J177" s="92"/>
      <c r="K177" s="92"/>
      <c r="L177" s="92"/>
      <c r="M177" s="92"/>
      <c r="N177" s="92"/>
      <c r="O177" s="92"/>
      <c r="P177" s="92"/>
      <c r="R177" s="92"/>
      <c r="S177" s="92"/>
      <c r="T177" s="92"/>
      <c r="U177" s="92"/>
      <c r="V177" s="92"/>
      <c r="W177" s="92"/>
    </row>
    <row r="178" spans="2:23" hidden="1" x14ac:dyDescent="0.2">
      <c r="B178" s="75" t="s">
        <v>18</v>
      </c>
      <c r="C178" s="90" t="str">
        <f>"Households that spend "&amp;C108*100&amp;"% or less of household income on median private rent can afford private rent,"</f>
        <v>Households that spend 30% or less of household income on median private rent can afford private rent,</v>
      </c>
      <c r="D178" s="90"/>
      <c r="E178" s="90"/>
      <c r="F178" s="90"/>
      <c r="G178" s="90"/>
      <c r="I178" s="90"/>
    </row>
    <row r="179" spans="2:23" hidden="1" x14ac:dyDescent="0.2">
      <c r="B179" s="75" t="s">
        <v>19</v>
      </c>
      <c r="C179" s="90" t="str">
        <f>"Households that spend "&amp;C117*100&amp;"% or more of household income on 30th percentile private rent are suitable for social housing."</f>
        <v>Households that spend 35% or more of household income on 30th percentile private rent are suitable for social housing.</v>
      </c>
      <c r="D179" s="90"/>
      <c r="E179" s="90"/>
      <c r="F179" s="90"/>
      <c r="G179" s="90"/>
      <c r="I179" s="90"/>
    </row>
    <row r="180" spans="2:23" hidden="1" x14ac:dyDescent="0.2">
      <c r="B180" s="75" t="s">
        <v>55</v>
      </c>
      <c r="C180" s="90" t="str">
        <f>" which will take "&amp;'Existing Unmet Need'!C28&amp;" years to clear."</f>
        <v xml:space="preserve"> which will take 5 years to clear.</v>
      </c>
      <c r="D180" s="90"/>
      <c r="E180" s="90"/>
      <c r="F180" s="90"/>
      <c r="G180" s="90"/>
      <c r="I180" s="90"/>
    </row>
    <row r="181" spans="2:23" hidden="1" x14ac:dyDescent="0.2">
      <c r="B181" s="75" t="s">
        <v>57</v>
      </c>
      <c r="C181" s="90" t="str">
        <f>". The yearly change to median household income is based on "&amp;IF(D14="Other","users estimates","the default estimates")</f>
        <v>. The yearly change to median household income is based on the default estimates</v>
      </c>
      <c r="D181" s="90"/>
      <c r="E181" s="90"/>
      <c r="F181" s="90"/>
      <c r="G181" s="90"/>
      <c r="I181" s="90"/>
    </row>
    <row r="182" spans="2:23" hidden="1" x14ac:dyDescent="0.2">
      <c r="B182" s="75" t="s">
        <v>58</v>
      </c>
      <c r="C182" s="90" t="str">
        <f>", the yearly change to the distribution of household income is based on "&amp;IF(D15="Other","users estimates","the default estimates")</f>
        <v>, the yearly change to the distribution of household income is based on the default estimates</v>
      </c>
      <c r="D182" s="90"/>
      <c r="E182" s="90"/>
      <c r="F182" s="90"/>
      <c r="G182" s="90"/>
      <c r="I182" s="90"/>
    </row>
    <row r="183" spans="2:23" hidden="1" x14ac:dyDescent="0.2">
      <c r="B183" s="75" t="s">
        <v>59</v>
      </c>
      <c r="C183" s="90" t="str">
        <f>", the yearly change to house prices is based on "&amp;IF(D25="Other","users estimates","the default estimates")</f>
        <v>, the yearly change to house prices is based on the default estimates</v>
      </c>
      <c r="D183" s="90"/>
      <c r="E183" s="90"/>
      <c r="F183" s="90"/>
      <c r="G183" s="90"/>
      <c r="I183" s="90"/>
    </row>
    <row r="184" spans="2:23" hidden="1" x14ac:dyDescent="0.2">
      <c r="B184" s="75" t="s">
        <v>60</v>
      </c>
      <c r="C184" s="90" t="str">
        <f>" and the yearly change to rental prices is based on "&amp;IF(D16="Other","users estimates","the default estimates.")</f>
        <v xml:space="preserve"> and the yearly change to rental prices is based on the default estimates.</v>
      </c>
      <c r="D184" s="90"/>
      <c r="E184" s="90"/>
      <c r="F184" s="90"/>
      <c r="G184" s="90"/>
      <c r="I184" s="90"/>
    </row>
    <row r="185" spans="2:23" hidden="1" x14ac:dyDescent="0.2">
      <c r="C185" s="90"/>
      <c r="D185" s="90"/>
      <c r="E185" s="90"/>
      <c r="F185" s="90"/>
      <c r="G185" s="90"/>
      <c r="I185" s="90"/>
    </row>
    <row r="186" spans="2:23" hidden="1" x14ac:dyDescent="0.2">
      <c r="B186" s="74" t="s">
        <v>125</v>
      </c>
      <c r="C186" s="90"/>
      <c r="D186" s="90"/>
      <c r="E186" s="90"/>
      <c r="F186" s="90"/>
      <c r="G186" s="90"/>
      <c r="I186" s="90"/>
    </row>
    <row r="187" spans="2:23" hidden="1" x14ac:dyDescent="0.2">
      <c r="B187" s="94" t="str">
        <f>C169&amp;E169&amp;C170&amp;F169&amp;C171&amp;C180&amp;H169&amp;C172&amp;I169&amp;C174&amp;C181&amp;C182&amp;C184</f>
        <v>The below figures split the estimates of housing need for Mid and South West Wales into two tenures and are based on the following assumptions. The underlying estimates of additional housing units are based on Welsh Government's Principal 2014-based household projections, and an estimate of 1153 households in existing unmet need which will take 5 years to clear. Income data is based on Welsh Government estimates and private rental data is based on Welsh Government data. The yearly change to median household income is based on the default estimates, the yearly change to the distribution of household income is based on the default estimates and the yearly change to rental prices is based on the default estimates.</v>
      </c>
      <c r="C187" s="90"/>
      <c r="D187" s="90"/>
      <c r="E187" s="90"/>
      <c r="F187" s="90"/>
      <c r="G187" s="90"/>
      <c r="I187" s="90"/>
    </row>
    <row r="188" spans="2:23" hidden="1" x14ac:dyDescent="0.2">
      <c r="B188" s="74" t="str">
        <f>IF(C133=1,"Estimates will not appear below until the above table is complete.",B187)</f>
        <v>The below figures split the estimates of housing need for Mid and South West Wales into two tenures and are based on the following assumptions. The underlying estimates of additional housing units are based on Welsh Government's Principal 2014-based household projections, and an estimate of 1153 households in existing unmet need which will take 5 years to clear. Income data is based on Welsh Government estimates and private rental data is based on Welsh Government data. The yearly change to median household income is based on the default estimates, the yearly change to the distribution of household income is based on the default estimates and the yearly change to rental prices is based on the default estimates.</v>
      </c>
      <c r="C188" s="90"/>
      <c r="D188" s="90"/>
      <c r="E188" s="90"/>
      <c r="F188" s="90"/>
      <c r="G188" s="90"/>
      <c r="I188" s="90"/>
    </row>
    <row r="189" spans="2:23" hidden="1" x14ac:dyDescent="0.2">
      <c r="B189" s="74"/>
      <c r="C189" s="90"/>
      <c r="D189" s="90"/>
      <c r="E189" s="90"/>
      <c r="F189" s="90"/>
      <c r="G189" s="90"/>
      <c r="I189" s="90"/>
    </row>
    <row r="190" spans="2:23" hidden="1" x14ac:dyDescent="0.2">
      <c r="B190" s="74" t="s">
        <v>129</v>
      </c>
      <c r="C190" s="90"/>
      <c r="D190" s="90"/>
      <c r="E190" s="90"/>
      <c r="F190" s="90"/>
      <c r="G190" s="90"/>
      <c r="I190" s="90"/>
    </row>
    <row r="191" spans="2:23" hidden="1" x14ac:dyDescent="0.2">
      <c r="B191" s="75" t="e">
        <f>D169&amp;G169&amp;C173&amp;C183&amp;J169&amp;C179</f>
        <v>#VALUE!</v>
      </c>
      <c r="C191" s="90"/>
      <c r="D191" s="90"/>
      <c r="E191" s="90"/>
      <c r="F191" s="90"/>
      <c r="G191" s="90"/>
      <c r="I191" s="90"/>
    </row>
    <row r="192" spans="2:23" hidden="1" x14ac:dyDescent="0.2">
      <c r="B192" s="74" t="str">
        <f>IF(C145=1,"Estimates split into 4 tenures will not appear below until the above table is complete.",B191)</f>
        <v>Estimates split into 4 tenures will not appear below until the above table is complete.</v>
      </c>
      <c r="C192" s="90"/>
      <c r="D192" s="90"/>
      <c r="E192" s="90"/>
      <c r="F192" s="90"/>
      <c r="G192" s="90"/>
      <c r="I192" s="90"/>
    </row>
    <row r="193" spans="2:9" hidden="1" x14ac:dyDescent="0.2">
      <c r="C193" s="90"/>
      <c r="D193" s="90"/>
      <c r="E193" s="90"/>
      <c r="F193" s="90"/>
      <c r="G193" s="90"/>
      <c r="I193" s="90"/>
    </row>
    <row r="194" spans="2:9" hidden="1" x14ac:dyDescent="0.2">
      <c r="B194" s="75" t="s">
        <v>136</v>
      </c>
      <c r="I194" s="90"/>
    </row>
    <row r="195" spans="2:9" hidden="1" x14ac:dyDescent="0.2">
      <c r="B195" s="75" t="s">
        <v>94</v>
      </c>
      <c r="I195" s="90"/>
    </row>
    <row r="196" spans="2:9" hidden="1" x14ac:dyDescent="0.2">
      <c r="B196" s="75" t="s">
        <v>95</v>
      </c>
      <c r="I196" s="90"/>
    </row>
    <row r="197" spans="2:9" hidden="1" x14ac:dyDescent="0.2">
      <c r="B197" s="75" t="s">
        <v>96</v>
      </c>
      <c r="I197" s="90"/>
    </row>
    <row r="198" spans="2:9" hidden="1" x14ac:dyDescent="0.2">
      <c r="B198" s="77" t="str">
        <f>"'Household Projections'"</f>
        <v>'Household Projections'</v>
      </c>
      <c r="I198" s="90"/>
    </row>
    <row r="199" spans="2:9" hidden="1" x14ac:dyDescent="0.2">
      <c r="B199" s="75" t="str">
        <f>"'Existing Unmet Need'"</f>
        <v>'Existing Unmet Need'</v>
      </c>
      <c r="I199" s="90"/>
    </row>
    <row r="200" spans="2:9" hidden="1" x14ac:dyDescent="0.2">
      <c r="B200" s="75" t="str">
        <f>"'Income (Mid and SW Wales)'"</f>
        <v>'Income (Mid and SW Wales)'</v>
      </c>
      <c r="I200" s="90"/>
    </row>
    <row r="201" spans="2:9" hidden="1" x14ac:dyDescent="0.2">
      <c r="B201" s="75" t="str">
        <f>"'House Prices (Mid and SW Wales)'"</f>
        <v>'House Prices (Mid and SW Wales)'</v>
      </c>
      <c r="I201" s="90"/>
    </row>
    <row r="202" spans="2:9" hidden="1" x14ac:dyDescent="0.2">
      <c r="B202" s="75" t="str">
        <f>"'Rental Prices'"</f>
        <v>'Rental Prices'</v>
      </c>
      <c r="I202" s="90"/>
    </row>
    <row r="203" spans="2:9" hidden="1" x14ac:dyDescent="0.2">
      <c r="B203" s="75" t="str">
        <f>"'Set Yearly Assumptions'"</f>
        <v>'Set Yearly Assumptions'</v>
      </c>
      <c r="I203" s="90"/>
    </row>
    <row r="204" spans="2:9" hidden="1" x14ac:dyDescent="0.2">
      <c r="B204" s="75" t="str">
        <f>"'Future Forecasts'"</f>
        <v>'Future Forecasts'</v>
      </c>
      <c r="I204" s="90"/>
    </row>
    <row r="205" spans="2:9" x14ac:dyDescent="0.2">
      <c r="I205" s="90"/>
    </row>
    <row r="206" spans="2:9" x14ac:dyDescent="0.2">
      <c r="I206" s="90"/>
    </row>
    <row r="207" spans="2:9" x14ac:dyDescent="0.2">
      <c r="I207" s="90"/>
    </row>
  </sheetData>
  <sheetProtection sheet="1" objects="1" scenarios="1"/>
  <mergeCells count="33">
    <mergeCell ref="I102:J102"/>
    <mergeCell ref="I103:J103"/>
    <mergeCell ref="I104:J104"/>
    <mergeCell ref="F23:I23"/>
    <mergeCell ref="F25:I25"/>
    <mergeCell ref="B28:J32"/>
    <mergeCell ref="I62:J62"/>
    <mergeCell ref="I63:J63"/>
    <mergeCell ref="B66:J69"/>
    <mergeCell ref="B17:B25"/>
    <mergeCell ref="F17:I17"/>
    <mergeCell ref="F18:I18"/>
    <mergeCell ref="F20:I20"/>
    <mergeCell ref="F21:I21"/>
    <mergeCell ref="I61:J61"/>
    <mergeCell ref="I99:J99"/>
    <mergeCell ref="B1:C1"/>
    <mergeCell ref="F4:I4"/>
    <mergeCell ref="B5:B16"/>
    <mergeCell ref="F5:I5"/>
    <mergeCell ref="F6:I6"/>
    <mergeCell ref="F7:I7"/>
    <mergeCell ref="F8:I8"/>
    <mergeCell ref="F9:I9"/>
    <mergeCell ref="F11:I11"/>
    <mergeCell ref="F12:I12"/>
    <mergeCell ref="F14:I14"/>
    <mergeCell ref="F15:I15"/>
    <mergeCell ref="B2:I2"/>
    <mergeCell ref="B52:J53"/>
    <mergeCell ref="F22:I22"/>
    <mergeCell ref="F16:I16"/>
    <mergeCell ref="I101:J101"/>
  </mergeCells>
  <conditionalFormatting sqref="E7:E9 E11:E12 E14:E16 E25:E27 E18 E20:E23">
    <cfRule type="expression" dxfId="11" priority="6">
      <formula>E7="Y"</formula>
    </cfRule>
  </conditionalFormatting>
  <conditionalFormatting sqref="E7:E12 E14:E16 E18 E20:E27">
    <cfRule type="expression" dxfId="10" priority="5">
      <formula>E7="N"</formula>
    </cfRule>
  </conditionalFormatting>
  <conditionalFormatting sqref="E13">
    <cfRule type="expression" dxfId="9" priority="4">
      <formula>E13="N"</formula>
    </cfRule>
  </conditionalFormatting>
  <conditionalFormatting sqref="E19">
    <cfRule type="expression" dxfId="8" priority="3">
      <formula>E19="N"</formula>
    </cfRule>
  </conditionalFormatting>
  <conditionalFormatting sqref="E6">
    <cfRule type="expression" dxfId="7" priority="2">
      <formula>E6="Y"</formula>
    </cfRule>
  </conditionalFormatting>
  <conditionalFormatting sqref="E6">
    <cfRule type="expression" dxfId="6" priority="1">
      <formula>E6="N"</formula>
    </cfRule>
  </conditionalFormatting>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X207"/>
  <sheetViews>
    <sheetView showGridLines="0" zoomScale="90" zoomScaleNormal="90" workbookViewId="0"/>
  </sheetViews>
  <sheetFormatPr defaultColWidth="9.140625" defaultRowHeight="12.75" x14ac:dyDescent="0.2"/>
  <cols>
    <col min="1" max="1" width="4.5703125" style="75" customWidth="1"/>
    <col min="2" max="2" width="18.42578125" style="75" customWidth="1"/>
    <col min="3" max="3" width="25.7109375" style="75" customWidth="1"/>
    <col min="4" max="4" width="20.5703125" style="75" customWidth="1"/>
    <col min="5" max="5" width="18.42578125" style="75" customWidth="1"/>
    <col min="6" max="6" width="15.5703125" style="75" customWidth="1"/>
    <col min="7" max="7" width="12.85546875" style="75" customWidth="1"/>
    <col min="8" max="14" width="13" style="75" customWidth="1"/>
    <col min="15" max="16384" width="9.140625" style="75"/>
  </cols>
  <sheetData>
    <row r="1" spans="1:11" ht="26.25" customHeight="1" x14ac:dyDescent="0.2">
      <c r="B1" s="361" t="s">
        <v>142</v>
      </c>
      <c r="C1" s="361"/>
      <c r="D1" s="105" t="s">
        <v>2</v>
      </c>
    </row>
    <row r="2" spans="1:11" ht="26.25" customHeight="1" x14ac:dyDescent="0.2">
      <c r="B2" s="388" t="s">
        <v>141</v>
      </c>
      <c r="C2" s="389"/>
      <c r="D2" s="389"/>
      <c r="E2" s="389"/>
      <c r="F2" s="389"/>
      <c r="G2" s="389"/>
      <c r="H2" s="389"/>
      <c r="I2" s="390"/>
    </row>
    <row r="4" spans="1:11" ht="30.75" customHeight="1" x14ac:dyDescent="0.25">
      <c r="C4" s="95" t="s">
        <v>42</v>
      </c>
      <c r="D4" s="104" t="s">
        <v>43</v>
      </c>
      <c r="E4" s="150" t="s">
        <v>97</v>
      </c>
      <c r="F4" s="371" t="s">
        <v>135</v>
      </c>
      <c r="G4" s="371"/>
      <c r="H4" s="371"/>
      <c r="I4" s="372"/>
      <c r="K4" s="72" t="s">
        <v>104</v>
      </c>
    </row>
    <row r="5" spans="1:11" ht="24.75" customHeight="1" x14ac:dyDescent="0.2">
      <c r="B5" s="377" t="s">
        <v>164</v>
      </c>
      <c r="C5" s="130" t="s">
        <v>107</v>
      </c>
      <c r="D5" s="131"/>
      <c r="E5" s="132"/>
      <c r="F5" s="373"/>
      <c r="G5" s="373"/>
      <c r="H5" s="373"/>
      <c r="I5" s="374"/>
    </row>
    <row r="6" spans="1:11" ht="15" customHeight="1" x14ac:dyDescent="0.2">
      <c r="A6" s="108"/>
      <c r="B6" s="378"/>
      <c r="C6" s="133" t="s">
        <v>52</v>
      </c>
      <c r="D6" s="134" t="str">
        <f>'Tenure Split (WALES)'!D6</f>
        <v>Principal</v>
      </c>
      <c r="E6" s="135" t="str">
        <f>IF(OR(F6=$B$195,F6=$B$196),"Y","N")</f>
        <v>Y</v>
      </c>
      <c r="F6" s="375" t="str">
        <f>IF(D6="",B194,IF(D6="Other",IF('Household Projections'!J25=0,B197&amp;B198,B196),B195))</f>
        <v>Default data used</v>
      </c>
      <c r="G6" s="375"/>
      <c r="H6" s="375"/>
      <c r="I6" s="365"/>
    </row>
    <row r="7" spans="1:11" ht="15" customHeight="1" x14ac:dyDescent="0.2">
      <c r="A7" s="108"/>
      <c r="B7" s="378"/>
      <c r="C7" s="133" t="s">
        <v>23</v>
      </c>
      <c r="D7" s="134" t="str">
        <f>'Tenure Split (WALES)'!D7</f>
        <v>WG Estimates</v>
      </c>
      <c r="E7" s="135" t="str">
        <f>IF(OR(F7=$B$195,F7=$B$196),"Y","N")</f>
        <v>Y</v>
      </c>
      <c r="F7" s="365" t="str">
        <f>IF(D7="",B194,IF(D7="Other",IF(ISBLANK('Existing Unmet Need'!C20),B197&amp;B199,B196),B195))</f>
        <v>Default data used</v>
      </c>
      <c r="G7" s="365"/>
      <c r="H7" s="365"/>
      <c r="I7" s="365"/>
    </row>
    <row r="8" spans="1:11" ht="15" customHeight="1" x14ac:dyDescent="0.2">
      <c r="A8" s="108"/>
      <c r="B8" s="378"/>
      <c r="C8" s="133" t="s">
        <v>157</v>
      </c>
      <c r="D8" s="134" t="str">
        <f>'Tenure Split (WALES)'!D8</f>
        <v>WG Estimates</v>
      </c>
      <c r="E8" s="135" t="str">
        <f>IF(OR(F8=$B$195,F8=$B$196),"Y","N")</f>
        <v>Y</v>
      </c>
      <c r="F8" s="365" t="str">
        <f>IF(D8="",B194,IF(D8="Other",IF('Income (SE Wales)'!N85=0,B196,B197&amp;B200),B195))</f>
        <v>Default data used</v>
      </c>
      <c r="G8" s="365"/>
      <c r="H8" s="365"/>
      <c r="I8" s="365"/>
    </row>
    <row r="9" spans="1:11" ht="15" customHeight="1" x14ac:dyDescent="0.2">
      <c r="A9" s="108"/>
      <c r="B9" s="378"/>
      <c r="C9" s="133" t="s">
        <v>158</v>
      </c>
      <c r="D9" s="134" t="str">
        <f>'Tenure Split (WALES)'!D9</f>
        <v>WG Rent Data</v>
      </c>
      <c r="E9" s="135" t="str">
        <f>IF(OR(F9=$B$195,F9=$B$196),"Y","N")</f>
        <v>Y</v>
      </c>
      <c r="F9" s="375" t="str">
        <f>IF(D9="",B194,IF(D9="Other",IF(OR(ISBLANK('Rental Prices'!C25),ISBLANK('Rental Prices'!D25)),B197&amp;B202,B196),B195))</f>
        <v>Default data used</v>
      </c>
      <c r="G9" s="375"/>
      <c r="H9" s="375"/>
      <c r="I9" s="365"/>
    </row>
    <row r="10" spans="1:11" ht="24.75" customHeight="1" x14ac:dyDescent="0.2">
      <c r="A10" s="108"/>
      <c r="B10" s="378"/>
      <c r="C10" s="130" t="s">
        <v>299</v>
      </c>
      <c r="D10" s="131"/>
      <c r="E10" s="136"/>
      <c r="F10" s="131"/>
      <c r="G10" s="137"/>
      <c r="H10" s="131"/>
      <c r="I10" s="138"/>
    </row>
    <row r="11" spans="1:11" ht="13.5" customHeight="1" x14ac:dyDescent="0.2">
      <c r="A11" s="108"/>
      <c r="B11" s="378"/>
      <c r="C11" s="139" t="s">
        <v>159</v>
      </c>
      <c r="D11" s="140" t="str">
        <f>'Tenure Split (WALES)'!D11</f>
        <v>Default</v>
      </c>
      <c r="E11" s="135" t="str">
        <f>IF(OR(F11=$B$195,F11=$B$196),"Y","N")</f>
        <v>Y</v>
      </c>
      <c r="F11" s="365" t="str">
        <f>'Tenure Split (WALES)'!F11:I11</f>
        <v>Default data used</v>
      </c>
      <c r="G11" s="365"/>
      <c r="H11" s="365"/>
      <c r="I11" s="365"/>
    </row>
    <row r="12" spans="1:11" ht="15" customHeight="1" x14ac:dyDescent="0.2">
      <c r="A12" s="108"/>
      <c r="B12" s="378"/>
      <c r="C12" s="139" t="s">
        <v>160</v>
      </c>
      <c r="D12" s="140" t="str">
        <f>'Tenure Split (WALES)'!D12</f>
        <v>Default</v>
      </c>
      <c r="E12" s="135" t="str">
        <f>IF(OR(F12=$B$195,F12=$B$196),"Y","N")</f>
        <v>Y</v>
      </c>
      <c r="F12" s="375" t="str">
        <f>'Tenure Split (WALES)'!F12:I12</f>
        <v>Default data used</v>
      </c>
      <c r="G12" s="375"/>
      <c r="H12" s="375"/>
      <c r="I12" s="365"/>
    </row>
    <row r="13" spans="1:11" ht="24.75" customHeight="1" x14ac:dyDescent="0.2">
      <c r="A13" s="108"/>
      <c r="B13" s="378"/>
      <c r="C13" s="130" t="s">
        <v>108</v>
      </c>
      <c r="D13" s="131"/>
      <c r="E13" s="136"/>
      <c r="F13" s="131"/>
      <c r="G13" s="137"/>
      <c r="H13" s="131"/>
      <c r="I13" s="138"/>
    </row>
    <row r="14" spans="1:11" ht="29.25" customHeight="1" x14ac:dyDescent="0.2">
      <c r="A14" s="108"/>
      <c r="B14" s="378"/>
      <c r="C14" s="141" t="s">
        <v>57</v>
      </c>
      <c r="D14" s="140" t="str">
        <f>'Tenure Split (WALES)'!D14</f>
        <v>Default</v>
      </c>
      <c r="E14" s="135" t="str">
        <f>IF(OR(F14=$B$195,F14=$B$196),"Y","N")</f>
        <v>Y</v>
      </c>
      <c r="F14" s="375" t="str">
        <f>'Tenure Split (WALES)'!F14:I14</f>
        <v>Default data used</v>
      </c>
      <c r="G14" s="375"/>
      <c r="H14" s="375"/>
      <c r="I14" s="365"/>
    </row>
    <row r="15" spans="1:11" ht="29.25" customHeight="1" x14ac:dyDescent="0.2">
      <c r="A15" s="108"/>
      <c r="B15" s="378"/>
      <c r="C15" s="141" t="s">
        <v>58</v>
      </c>
      <c r="D15" s="140" t="str">
        <f>'Tenure Split (WALES)'!D15</f>
        <v>Greater Inequality</v>
      </c>
      <c r="E15" s="135" t="str">
        <f>IF(OR(F15=$B$195,F15=$B$196),"Y","N")</f>
        <v>Y</v>
      </c>
      <c r="F15" s="375" t="str">
        <f>'Tenure Split (WALES)'!F15:I15</f>
        <v>Default data used</v>
      </c>
      <c r="G15" s="375"/>
      <c r="H15" s="375"/>
      <c r="I15" s="365"/>
    </row>
    <row r="16" spans="1:11" ht="17.25" customHeight="1" x14ac:dyDescent="0.2">
      <c r="A16" s="108"/>
      <c r="B16" s="379"/>
      <c r="C16" s="142" t="s">
        <v>60</v>
      </c>
      <c r="D16" s="140" t="str">
        <f>'Tenure Split (WALES)'!D16</f>
        <v>Default</v>
      </c>
      <c r="E16" s="143" t="str">
        <f>IF(OR(F16=$B$195,F16=$B$196),"Y","N")</f>
        <v>Y</v>
      </c>
      <c r="F16" s="375" t="str">
        <f>'Tenure Split (WALES)'!F16:I16</f>
        <v>Default data used</v>
      </c>
      <c r="G16" s="375"/>
      <c r="H16" s="375"/>
      <c r="I16" s="365"/>
    </row>
    <row r="17" spans="1:11" ht="24.75" customHeight="1" x14ac:dyDescent="0.2">
      <c r="A17" s="108"/>
      <c r="B17" s="380" t="s">
        <v>311</v>
      </c>
      <c r="C17" s="109" t="s">
        <v>109</v>
      </c>
      <c r="D17" s="151"/>
      <c r="E17" s="125"/>
      <c r="F17" s="383"/>
      <c r="G17" s="383"/>
      <c r="H17" s="383"/>
      <c r="I17" s="384"/>
    </row>
    <row r="18" spans="1:11" ht="31.5" customHeight="1" x14ac:dyDescent="0.2">
      <c r="A18" s="108"/>
      <c r="B18" s="381"/>
      <c r="C18" s="97" t="s">
        <v>54</v>
      </c>
      <c r="D18" s="122" t="str">
        <f>'Tenure Split (WALES)'!D18</f>
        <v>Land Registry Data</v>
      </c>
      <c r="E18" s="124" t="str">
        <f>IF(OR(F18=$B$195,F18=$B$196),"Y","N")</f>
        <v>Y</v>
      </c>
      <c r="F18" s="368" t="str">
        <f>IF(D18="",B194,IF(D18="Other",IF('House Prices (SE Wales)'!N85=1,B197&amp;B201,B196),B195))</f>
        <v>Default data used</v>
      </c>
      <c r="G18" s="368"/>
      <c r="H18" s="368"/>
      <c r="I18" s="368"/>
    </row>
    <row r="19" spans="1:11" ht="24.75" customHeight="1" x14ac:dyDescent="0.2">
      <c r="A19" s="108"/>
      <c r="B19" s="381"/>
      <c r="C19" s="96" t="s">
        <v>110</v>
      </c>
      <c r="D19" s="100"/>
      <c r="E19" s="126"/>
      <c r="F19" s="100"/>
      <c r="G19" s="101"/>
      <c r="H19" s="100"/>
      <c r="I19" s="102"/>
    </row>
    <row r="20" spans="1:11" ht="13.5" customHeight="1" x14ac:dyDescent="0.2">
      <c r="A20" s="108"/>
      <c r="B20" s="381"/>
      <c r="C20" s="98" t="s">
        <v>161</v>
      </c>
      <c r="D20" s="122" t="str">
        <f>'Tenure Split (WALES)'!D20</f>
        <v>Default</v>
      </c>
      <c r="E20" s="124" t="str">
        <f>IF(OR(F20=$B$195,F20=$B$196),"Y","N")</f>
        <v>Y</v>
      </c>
      <c r="F20" s="368" t="str">
        <f>'Tenure Split (WALES)'!F20:I20</f>
        <v>Default data used</v>
      </c>
      <c r="G20" s="368"/>
      <c r="H20" s="368"/>
      <c r="I20" s="368"/>
    </row>
    <row r="21" spans="1:11" ht="15" customHeight="1" x14ac:dyDescent="0.2">
      <c r="A21" s="108"/>
      <c r="B21" s="381"/>
      <c r="C21" s="98" t="s">
        <v>45</v>
      </c>
      <c r="D21" s="122">
        <f>'Tenure Split (WALES)'!D21</f>
        <v>25</v>
      </c>
      <c r="E21" s="124" t="str">
        <f>IF(OR(F21=$B$195,F21=$B$196),"Y","N")</f>
        <v>Y</v>
      </c>
      <c r="F21" s="368" t="str">
        <f>'Tenure Split (WALES)'!F21:I21</f>
        <v>Default data used</v>
      </c>
      <c r="G21" s="368"/>
      <c r="H21" s="368"/>
      <c r="I21" s="368"/>
    </row>
    <row r="22" spans="1:11" ht="28.5" customHeight="1" x14ac:dyDescent="0.2">
      <c r="A22" s="108"/>
      <c r="B22" s="381"/>
      <c r="C22" s="123" t="s">
        <v>162</v>
      </c>
      <c r="D22" s="122" t="str">
        <f>'Tenure Split (WALES)'!D22</f>
        <v>User value (no default)</v>
      </c>
      <c r="E22" s="124" t="str">
        <f>IF(OR(F22=$B$195,F22=$B$196),"Y","N")</f>
        <v>N</v>
      </c>
      <c r="F22" s="368" t="str">
        <f>'Tenure Split (WALES)'!F22:I22</f>
        <v>Please enter user data on sheet: 'Set Yearly Assumptions'</v>
      </c>
      <c r="G22" s="368"/>
      <c r="H22" s="368"/>
      <c r="I22" s="368"/>
    </row>
    <row r="23" spans="1:11" ht="15" customHeight="1" x14ac:dyDescent="0.2">
      <c r="A23" s="108"/>
      <c r="B23" s="381"/>
      <c r="C23" s="98" t="s">
        <v>163</v>
      </c>
      <c r="D23" s="122" t="str">
        <f>'Tenure Split (WALES)'!D23</f>
        <v>Default</v>
      </c>
      <c r="E23" s="124" t="str">
        <f>IF(OR(F23=$B$195,F23=$B$196),"Y","N")</f>
        <v>Y</v>
      </c>
      <c r="F23" s="368" t="str">
        <f>'Tenure Split (WALES)'!F23:I23</f>
        <v>Default data used</v>
      </c>
      <c r="G23" s="368"/>
      <c r="H23" s="368"/>
      <c r="I23" s="368"/>
    </row>
    <row r="24" spans="1:11" ht="24.75" customHeight="1" x14ac:dyDescent="0.2">
      <c r="A24" s="108"/>
      <c r="B24" s="381"/>
      <c r="C24" s="96" t="s">
        <v>111</v>
      </c>
      <c r="D24" s="100"/>
      <c r="E24" s="126"/>
      <c r="F24" s="100"/>
      <c r="G24" s="101"/>
      <c r="H24" s="100"/>
      <c r="I24" s="102"/>
    </row>
    <row r="25" spans="1:11" ht="15" customHeight="1" x14ac:dyDescent="0.2">
      <c r="A25" s="108"/>
      <c r="B25" s="382"/>
      <c r="C25" s="144" t="s">
        <v>59</v>
      </c>
      <c r="D25" s="125" t="str">
        <f>'Tenure Split (WALES)'!D25</f>
        <v>Default</v>
      </c>
      <c r="E25" s="126" t="str">
        <f>IF(OR(F25=$B$195,F25=$B$196),"Y","N")</f>
        <v>Y</v>
      </c>
      <c r="F25" s="363" t="str">
        <f>'Tenure Split (WALES)'!F25:I25</f>
        <v>Default data used</v>
      </c>
      <c r="G25" s="363"/>
      <c r="H25" s="363"/>
      <c r="I25" s="363"/>
    </row>
    <row r="26" spans="1:11" ht="15" customHeight="1" x14ac:dyDescent="0.2">
      <c r="C26" s="78"/>
      <c r="D26" s="79"/>
      <c r="E26" s="76"/>
      <c r="F26" s="80"/>
      <c r="G26" s="80"/>
      <c r="H26" s="80"/>
      <c r="I26" s="80"/>
    </row>
    <row r="27" spans="1:11" ht="15" customHeight="1" x14ac:dyDescent="0.2">
      <c r="B27" s="81" t="str">
        <f>IF(C133=1,"","Commentary on chosen assumptions for 2 tenure split")</f>
        <v>Commentary on chosen assumptions for 2 tenure split</v>
      </c>
      <c r="D27" s="79"/>
      <c r="E27" s="76"/>
      <c r="F27" s="80"/>
      <c r="G27" s="80"/>
      <c r="H27" s="80"/>
      <c r="I27" s="80"/>
    </row>
    <row r="28" spans="1:11" ht="15" customHeight="1" x14ac:dyDescent="0.2">
      <c r="B28" s="364" t="str">
        <f>B188</f>
        <v>The below figures split the estimates of housing need for South East Wales into two tenures and are based on the following assumptions. The underlying estimates of additional housing units are based on Welsh Government's Principal 2014-based household projections, and an estimate of 3247 households in existing unmet need which will take 5 years to clear. Income data is based on Welsh Government estimates and private rental data is based on Welsh Government data. The yearly change to median household income is based on the default estimates, the yearly change to the distribution of household income is based on the default estimates and the yearly change to rental prices is based on the default estimates.</v>
      </c>
      <c r="C28" s="364"/>
      <c r="D28" s="364"/>
      <c r="E28" s="364"/>
      <c r="F28" s="364"/>
      <c r="G28" s="364"/>
      <c r="H28" s="364"/>
      <c r="I28" s="364"/>
      <c r="J28" s="364"/>
      <c r="K28" s="111"/>
    </row>
    <row r="29" spans="1:11" ht="15" customHeight="1" x14ac:dyDescent="0.2">
      <c r="B29" s="364"/>
      <c r="C29" s="364"/>
      <c r="D29" s="364"/>
      <c r="E29" s="364"/>
      <c r="F29" s="364"/>
      <c r="G29" s="364"/>
      <c r="H29" s="364"/>
      <c r="I29" s="364"/>
      <c r="J29" s="364"/>
      <c r="K29" s="111"/>
    </row>
    <row r="30" spans="1:11" ht="15" customHeight="1" x14ac:dyDescent="0.2">
      <c r="B30" s="364"/>
      <c r="C30" s="364"/>
      <c r="D30" s="364"/>
      <c r="E30" s="364"/>
      <c r="F30" s="364"/>
      <c r="G30" s="364"/>
      <c r="H30" s="364"/>
      <c r="I30" s="364"/>
      <c r="J30" s="364"/>
      <c r="K30" s="111"/>
    </row>
    <row r="31" spans="1:11" ht="15" customHeight="1" x14ac:dyDescent="0.2">
      <c r="B31" s="364"/>
      <c r="C31" s="364"/>
      <c r="D31" s="364"/>
      <c r="E31" s="364"/>
      <c r="F31" s="364"/>
      <c r="G31" s="364"/>
      <c r="H31" s="364"/>
      <c r="I31" s="364"/>
      <c r="J31" s="364"/>
      <c r="K31" s="111"/>
    </row>
    <row r="32" spans="1:11" ht="15" customHeight="1" x14ac:dyDescent="0.2">
      <c r="B32" s="364"/>
      <c r="C32" s="364"/>
      <c r="D32" s="364"/>
      <c r="E32" s="364"/>
      <c r="F32" s="364"/>
      <c r="G32" s="364"/>
      <c r="H32" s="364"/>
      <c r="I32" s="364"/>
      <c r="J32" s="364"/>
      <c r="K32" s="111"/>
    </row>
    <row r="33" spans="2:11" ht="15" customHeight="1" x14ac:dyDescent="0.2">
      <c r="B33" s="112"/>
      <c r="C33" s="149"/>
      <c r="D33" s="149"/>
      <c r="E33" s="149"/>
      <c r="F33" s="149"/>
      <c r="G33" s="149"/>
      <c r="H33" s="149"/>
      <c r="I33" s="149"/>
      <c r="J33" s="149"/>
      <c r="K33" s="111"/>
    </row>
    <row r="34" spans="2:11" ht="15" customHeight="1" x14ac:dyDescent="0.2">
      <c r="B34" s="112"/>
      <c r="C34" s="149"/>
      <c r="D34" s="149"/>
      <c r="E34" s="149"/>
      <c r="F34" s="149"/>
      <c r="G34" s="149"/>
      <c r="H34" s="149"/>
      <c r="I34" s="149"/>
      <c r="J34" s="149"/>
      <c r="K34" s="111"/>
    </row>
    <row r="35" spans="2:11" ht="15" customHeight="1" x14ac:dyDescent="0.2">
      <c r="B35" s="112"/>
      <c r="C35" s="149"/>
      <c r="D35" s="149"/>
      <c r="E35" s="149"/>
      <c r="F35" s="149"/>
      <c r="G35" s="149"/>
      <c r="H35" s="149"/>
      <c r="I35" s="149"/>
      <c r="J35" s="149"/>
      <c r="K35" s="111"/>
    </row>
    <row r="36" spans="2:11" ht="15" customHeight="1" x14ac:dyDescent="0.2">
      <c r="B36" s="112"/>
      <c r="C36" s="149"/>
      <c r="D36" s="149"/>
      <c r="E36" s="149"/>
      <c r="F36" s="149"/>
      <c r="G36" s="149"/>
      <c r="H36" s="149"/>
      <c r="I36" s="149"/>
      <c r="J36" s="149"/>
      <c r="K36" s="111"/>
    </row>
    <row r="37" spans="2:11" ht="15" customHeight="1" x14ac:dyDescent="0.2">
      <c r="B37" s="112"/>
      <c r="C37" s="149"/>
      <c r="D37" s="149"/>
      <c r="E37" s="149"/>
      <c r="F37" s="149"/>
      <c r="G37" s="149"/>
      <c r="H37" s="149"/>
      <c r="I37" s="149"/>
      <c r="J37" s="149"/>
      <c r="K37" s="111"/>
    </row>
    <row r="38" spans="2:11" ht="15" customHeight="1" x14ac:dyDescent="0.2">
      <c r="B38" s="149"/>
      <c r="C38" s="149"/>
      <c r="D38" s="149"/>
      <c r="E38" s="149"/>
      <c r="F38" s="149"/>
      <c r="G38" s="149"/>
      <c r="H38" s="149"/>
      <c r="I38" s="149"/>
      <c r="J38" s="149"/>
      <c r="K38" s="111"/>
    </row>
    <row r="39" spans="2:11" ht="15" customHeight="1" x14ac:dyDescent="0.2">
      <c r="B39" s="149"/>
      <c r="C39" s="149"/>
      <c r="D39" s="149"/>
      <c r="E39" s="149"/>
      <c r="F39" s="149"/>
      <c r="G39" s="149"/>
      <c r="H39" s="149"/>
      <c r="I39" s="149"/>
      <c r="J39" s="149"/>
      <c r="K39" s="111"/>
    </row>
    <row r="40" spans="2:11" ht="15" customHeight="1" x14ac:dyDescent="0.2">
      <c r="B40" s="149"/>
      <c r="C40" s="149"/>
      <c r="D40" s="149"/>
      <c r="E40" s="149"/>
      <c r="F40" s="149"/>
      <c r="G40" s="149"/>
      <c r="H40" s="149"/>
      <c r="I40" s="149"/>
      <c r="J40" s="149"/>
      <c r="K40" s="111"/>
    </row>
    <row r="41" spans="2:11" ht="15" customHeight="1" x14ac:dyDescent="0.2">
      <c r="B41" s="149"/>
      <c r="C41" s="149"/>
      <c r="D41" s="149"/>
      <c r="E41" s="149"/>
      <c r="F41" s="149"/>
      <c r="G41" s="149"/>
      <c r="H41" s="149"/>
      <c r="I41" s="149"/>
      <c r="J41" s="149"/>
      <c r="K41" s="111"/>
    </row>
    <row r="42" spans="2:11" ht="15" customHeight="1" x14ac:dyDescent="0.2">
      <c r="B42" s="149"/>
      <c r="C42" s="149"/>
      <c r="D42" s="149"/>
      <c r="E42" s="149"/>
      <c r="F42" s="149"/>
      <c r="G42" s="149"/>
      <c r="H42" s="149"/>
      <c r="I42" s="149"/>
      <c r="J42" s="149"/>
      <c r="K42" s="111"/>
    </row>
    <row r="43" spans="2:11" ht="15" customHeight="1" x14ac:dyDescent="0.2">
      <c r="B43" s="149"/>
      <c r="C43" s="149"/>
      <c r="D43" s="149"/>
      <c r="E43" s="149"/>
      <c r="F43" s="149"/>
      <c r="G43" s="149"/>
      <c r="H43" s="149"/>
      <c r="I43" s="149"/>
      <c r="J43" s="149"/>
      <c r="K43" s="111"/>
    </row>
    <row r="44" spans="2:11" ht="15" customHeight="1" x14ac:dyDescent="0.2">
      <c r="B44" s="149"/>
      <c r="C44" s="149"/>
      <c r="D44" s="149"/>
      <c r="E44" s="149"/>
      <c r="F44" s="149"/>
      <c r="G44" s="149"/>
      <c r="H44" s="149"/>
      <c r="I44" s="149"/>
      <c r="J44" s="149"/>
      <c r="K44" s="111"/>
    </row>
    <row r="45" spans="2:11" ht="15" customHeight="1" x14ac:dyDescent="0.2">
      <c r="B45" s="149"/>
      <c r="C45" s="149"/>
      <c r="D45" s="149"/>
      <c r="E45" s="149"/>
      <c r="F45" s="149"/>
      <c r="G45" s="149"/>
      <c r="H45" s="149"/>
      <c r="I45" s="149"/>
      <c r="J45" s="149"/>
      <c r="K45" s="111"/>
    </row>
    <row r="46" spans="2:11" ht="15" customHeight="1" x14ac:dyDescent="0.2">
      <c r="B46" s="149"/>
      <c r="C46" s="149"/>
      <c r="D46" s="149"/>
      <c r="E46" s="149"/>
      <c r="F46" s="149"/>
      <c r="G46" s="149"/>
      <c r="H46" s="149"/>
      <c r="I46" s="149"/>
      <c r="J46" s="149"/>
      <c r="K46" s="111"/>
    </row>
    <row r="47" spans="2:11" ht="15" customHeight="1" x14ac:dyDescent="0.2">
      <c r="B47" s="149"/>
      <c r="C47" s="149"/>
      <c r="D47" s="149"/>
      <c r="E47" s="149"/>
      <c r="F47" s="149"/>
      <c r="G47" s="149"/>
      <c r="H47" s="149"/>
      <c r="I47" s="149"/>
      <c r="J47" s="149"/>
      <c r="K47" s="111"/>
    </row>
    <row r="48" spans="2:11" ht="15" customHeight="1" x14ac:dyDescent="0.2">
      <c r="B48" s="149"/>
      <c r="C48" s="149"/>
      <c r="D48" s="149"/>
      <c r="E48" s="149"/>
      <c r="F48" s="149"/>
      <c r="G48" s="149"/>
      <c r="H48" s="149"/>
      <c r="I48" s="149"/>
      <c r="J48" s="149"/>
      <c r="K48" s="111"/>
    </row>
    <row r="49" spans="2:11" ht="15" customHeight="1" x14ac:dyDescent="0.2">
      <c r="B49" s="149"/>
      <c r="C49" s="149"/>
      <c r="D49" s="149"/>
      <c r="E49" s="149"/>
      <c r="F49" s="149"/>
      <c r="G49" s="149"/>
      <c r="H49" s="149"/>
      <c r="I49" s="149"/>
      <c r="J49" s="149"/>
      <c r="K49" s="111"/>
    </row>
    <row r="50" spans="2:11" ht="15" customHeight="1" x14ac:dyDescent="0.2">
      <c r="B50" s="149"/>
      <c r="C50" s="149"/>
      <c r="D50" s="149"/>
      <c r="E50" s="149"/>
      <c r="F50" s="149"/>
      <c r="G50" s="149"/>
      <c r="H50" s="149"/>
      <c r="I50" s="149"/>
      <c r="J50" s="149"/>
      <c r="K50" s="111"/>
    </row>
    <row r="51" spans="2:11" ht="15" customHeight="1" x14ac:dyDescent="0.2">
      <c r="B51" s="149"/>
      <c r="C51" s="149"/>
      <c r="D51" s="149"/>
      <c r="E51" s="149"/>
      <c r="F51" s="149"/>
      <c r="G51" s="149"/>
      <c r="H51" s="149"/>
      <c r="I51" s="149"/>
      <c r="J51" s="149"/>
      <c r="K51" s="111"/>
    </row>
    <row r="52" spans="2:11" ht="15" customHeight="1" x14ac:dyDescent="0.2">
      <c r="B52" s="354" t="s">
        <v>284</v>
      </c>
      <c r="C52" s="355"/>
      <c r="D52" s="355"/>
      <c r="E52" s="355"/>
      <c r="F52" s="355"/>
      <c r="G52" s="355"/>
      <c r="H52" s="355"/>
      <c r="I52" s="355"/>
      <c r="J52" s="356"/>
      <c r="K52" s="111"/>
    </row>
    <row r="53" spans="2:11" ht="15" customHeight="1" x14ac:dyDescent="0.2">
      <c r="B53" s="357"/>
      <c r="C53" s="358"/>
      <c r="D53" s="358"/>
      <c r="E53" s="358"/>
      <c r="F53" s="358"/>
      <c r="G53" s="358"/>
      <c r="H53" s="358"/>
      <c r="I53" s="358"/>
      <c r="J53" s="359"/>
      <c r="K53" s="111"/>
    </row>
    <row r="54" spans="2:11" ht="15" customHeight="1" x14ac:dyDescent="0.2">
      <c r="B54" s="267"/>
      <c r="C54" s="267"/>
      <c r="D54" s="267"/>
      <c r="E54" s="267"/>
      <c r="F54" s="267"/>
      <c r="G54" s="267"/>
      <c r="H54" s="267"/>
      <c r="I54" s="267"/>
      <c r="J54" s="267"/>
      <c r="K54" s="111"/>
    </row>
    <row r="55" spans="2:11" ht="15" customHeight="1" x14ac:dyDescent="0.2">
      <c r="B55" s="85" t="s">
        <v>149</v>
      </c>
      <c r="C55" s="86"/>
      <c r="D55" s="86"/>
      <c r="E55" s="86"/>
      <c r="F55" s="86"/>
      <c r="G55" s="86"/>
      <c r="K55" s="111"/>
    </row>
    <row r="56" spans="2:11" ht="15" customHeight="1" x14ac:dyDescent="0.2">
      <c r="B56" s="153" t="str">
        <f>B148</f>
        <v/>
      </c>
      <c r="C56" s="154" t="str">
        <f t="shared" ref="C56:G56" si="0">C148</f>
        <v>2018/19</v>
      </c>
      <c r="D56" s="154" t="str">
        <f t="shared" si="0"/>
        <v>2019/20</v>
      </c>
      <c r="E56" s="154" t="str">
        <f t="shared" si="0"/>
        <v>2020/21</v>
      </c>
      <c r="F56" s="154" t="str">
        <f t="shared" si="0"/>
        <v>2021/22</v>
      </c>
      <c r="G56" s="154" t="str">
        <f t="shared" si="0"/>
        <v>2022/23</v>
      </c>
      <c r="K56" s="111"/>
    </row>
    <row r="57" spans="2:11" ht="15" customHeight="1" x14ac:dyDescent="0.2">
      <c r="B57" s="153" t="str">
        <f t="shared" ref="B57:G58" si="1">B149</f>
        <v>Market Housing</v>
      </c>
      <c r="C57" s="155">
        <f t="shared" si="1"/>
        <v>2432.4</v>
      </c>
      <c r="D57" s="155">
        <f t="shared" si="1"/>
        <v>2369.4</v>
      </c>
      <c r="E57" s="155">
        <f t="shared" si="1"/>
        <v>2412.6</v>
      </c>
      <c r="F57" s="155">
        <f t="shared" si="1"/>
        <v>2571</v>
      </c>
      <c r="G57" s="155">
        <f t="shared" si="1"/>
        <v>2465.4</v>
      </c>
      <c r="K57" s="111"/>
    </row>
    <row r="58" spans="2:11" ht="15" customHeight="1" x14ac:dyDescent="0.2">
      <c r="B58" s="153" t="str">
        <f t="shared" si="1"/>
        <v>Affordable Housing</v>
      </c>
      <c r="C58" s="155">
        <f>C150</f>
        <v>2270.9999999999995</v>
      </c>
      <c r="D58" s="155">
        <f t="shared" si="1"/>
        <v>2228.9999999999995</v>
      </c>
      <c r="E58" s="155">
        <f t="shared" si="1"/>
        <v>2257.7999999999997</v>
      </c>
      <c r="F58" s="155">
        <f t="shared" si="1"/>
        <v>2363.3999999999996</v>
      </c>
      <c r="G58" s="155">
        <f t="shared" si="1"/>
        <v>2292.9999999999995</v>
      </c>
      <c r="K58" s="111"/>
    </row>
    <row r="59" spans="2:11" ht="15" customHeight="1" x14ac:dyDescent="0.2">
      <c r="K59" s="111"/>
    </row>
    <row r="60" spans="2:11" ht="15" customHeight="1" x14ac:dyDescent="0.2">
      <c r="B60" s="74" t="s">
        <v>150</v>
      </c>
      <c r="K60" s="111"/>
    </row>
    <row r="61" spans="2:11" ht="15" customHeight="1" x14ac:dyDescent="0.2">
      <c r="B61" s="114" t="str">
        <f>B151</f>
        <v/>
      </c>
      <c r="C61" s="156" t="str">
        <f t="shared" ref="C61:G63" si="2">C151</f>
        <v>2018/19</v>
      </c>
      <c r="D61" s="156" t="str">
        <f t="shared" si="2"/>
        <v>2019/20</v>
      </c>
      <c r="E61" s="156" t="str">
        <f t="shared" si="2"/>
        <v>2020/21</v>
      </c>
      <c r="F61" s="156" t="str">
        <f t="shared" si="2"/>
        <v>2021/22</v>
      </c>
      <c r="G61" s="156" t="str">
        <f t="shared" si="2"/>
        <v>2022/23</v>
      </c>
      <c r="I61" s="387" t="str">
        <f>I151</f>
        <v>Overall 5 Year Split</v>
      </c>
      <c r="J61" s="387"/>
      <c r="K61" s="111"/>
    </row>
    <row r="62" spans="2:11" ht="15" customHeight="1" x14ac:dyDescent="0.2">
      <c r="B62" s="114" t="str">
        <f>B152</f>
        <v>Market Housing</v>
      </c>
      <c r="C62" s="157">
        <f>C152</f>
        <v>0.51715780073989037</v>
      </c>
      <c r="D62" s="157">
        <f t="shared" si="2"/>
        <v>0.51526617954070986</v>
      </c>
      <c r="E62" s="157">
        <f t="shared" si="2"/>
        <v>0.51657245632065774</v>
      </c>
      <c r="F62" s="157">
        <f t="shared" si="2"/>
        <v>0.52103599221789887</v>
      </c>
      <c r="G62" s="157">
        <f t="shared" si="2"/>
        <v>0.51811533288500344</v>
      </c>
      <c r="I62" s="376">
        <f>I152</f>
        <v>0.51767589266849778</v>
      </c>
      <c r="J62" s="376"/>
      <c r="K62" s="111"/>
    </row>
    <row r="63" spans="2:11" ht="15" customHeight="1" x14ac:dyDescent="0.2">
      <c r="B63" s="114" t="str">
        <f t="shared" ref="B63" si="3">B153</f>
        <v>Affordable</v>
      </c>
      <c r="C63" s="157">
        <f>C153</f>
        <v>0.48284219926010963</v>
      </c>
      <c r="D63" s="157">
        <f t="shared" si="2"/>
        <v>0.48473382045929014</v>
      </c>
      <c r="E63" s="157">
        <f t="shared" si="2"/>
        <v>0.48342754367934221</v>
      </c>
      <c r="F63" s="157">
        <f t="shared" si="2"/>
        <v>0.47896400778210113</v>
      </c>
      <c r="G63" s="157">
        <f t="shared" si="2"/>
        <v>0.48188466711499656</v>
      </c>
      <c r="I63" s="376">
        <f>I153</f>
        <v>0.48232410733150216</v>
      </c>
      <c r="J63" s="376"/>
      <c r="K63" s="111"/>
    </row>
    <row r="64" spans="2:11" ht="15" customHeight="1" x14ac:dyDescent="0.2">
      <c r="B64" s="112"/>
      <c r="C64" s="149"/>
      <c r="D64" s="149"/>
      <c r="E64" s="149"/>
      <c r="F64" s="149"/>
      <c r="G64" s="149"/>
      <c r="H64" s="149"/>
      <c r="I64" s="149"/>
      <c r="J64" s="149"/>
      <c r="K64" s="111"/>
    </row>
    <row r="65" spans="2:11" ht="15" customHeight="1" x14ac:dyDescent="0.2">
      <c r="B65" s="81" t="str">
        <f>IF(C145=1,"","Commentary on chosen assumptions for 4 tenure split")</f>
        <v/>
      </c>
      <c r="C65" s="149"/>
      <c r="D65" s="149"/>
      <c r="E65" s="149"/>
      <c r="F65" s="149"/>
      <c r="G65" s="149"/>
      <c r="H65" s="149"/>
      <c r="I65" s="149"/>
      <c r="J65" s="149"/>
      <c r="K65" s="111"/>
    </row>
    <row r="66" spans="2:11" ht="15" customHeight="1" x14ac:dyDescent="0.2">
      <c r="B66" s="364" t="str">
        <f>B192</f>
        <v>Estimates split into 4 tenures will not appear below until the above table is complete.</v>
      </c>
      <c r="C66" s="364"/>
      <c r="D66" s="364"/>
      <c r="E66" s="364"/>
      <c r="F66" s="364"/>
      <c r="G66" s="364"/>
      <c r="H66" s="364"/>
      <c r="I66" s="364"/>
      <c r="J66" s="364"/>
      <c r="K66" s="111"/>
    </row>
    <row r="67" spans="2:11" ht="15" customHeight="1" x14ac:dyDescent="0.2">
      <c r="B67" s="364"/>
      <c r="C67" s="364"/>
      <c r="D67" s="364"/>
      <c r="E67" s="364"/>
      <c r="F67" s="364"/>
      <c r="G67" s="364"/>
      <c r="H67" s="364"/>
      <c r="I67" s="364"/>
      <c r="J67" s="364"/>
      <c r="K67" s="111"/>
    </row>
    <row r="68" spans="2:11" ht="15" customHeight="1" x14ac:dyDescent="0.2">
      <c r="B68" s="364"/>
      <c r="C68" s="364"/>
      <c r="D68" s="364"/>
      <c r="E68" s="364"/>
      <c r="F68" s="364"/>
      <c r="G68" s="364"/>
      <c r="H68" s="364"/>
      <c r="I68" s="364"/>
      <c r="J68" s="364"/>
      <c r="K68" s="111"/>
    </row>
    <row r="69" spans="2:11" ht="15" customHeight="1" x14ac:dyDescent="0.2">
      <c r="B69" s="364"/>
      <c r="C69" s="364"/>
      <c r="D69" s="364"/>
      <c r="E69" s="364"/>
      <c r="F69" s="364"/>
      <c r="G69" s="364"/>
      <c r="H69" s="364"/>
      <c r="I69" s="364"/>
      <c r="J69" s="364"/>
      <c r="K69" s="111"/>
    </row>
    <row r="70" spans="2:11" ht="15" customHeight="1" x14ac:dyDescent="0.2">
      <c r="C70" s="78"/>
      <c r="D70" s="82"/>
      <c r="F70" s="83"/>
      <c r="G70" s="84"/>
    </row>
    <row r="71" spans="2:11" ht="15" customHeight="1" x14ac:dyDescent="0.2">
      <c r="C71" s="78"/>
      <c r="D71" s="82"/>
      <c r="E71" s="84"/>
      <c r="F71" s="83"/>
      <c r="G71" s="84"/>
    </row>
    <row r="72" spans="2:11" ht="15" customHeight="1" x14ac:dyDescent="0.2">
      <c r="C72" s="78"/>
      <c r="D72" s="82"/>
      <c r="E72" s="84"/>
      <c r="F72" s="83"/>
      <c r="G72" s="84"/>
    </row>
    <row r="73" spans="2:11" ht="15" customHeight="1" x14ac:dyDescent="0.2">
      <c r="C73" s="78"/>
      <c r="D73" s="82"/>
      <c r="E73" s="84"/>
      <c r="F73" s="83"/>
      <c r="G73" s="84"/>
    </row>
    <row r="74" spans="2:11" ht="15" customHeight="1" x14ac:dyDescent="0.2">
      <c r="C74" s="78"/>
      <c r="D74" s="82"/>
      <c r="E74" s="84"/>
      <c r="F74" s="83"/>
      <c r="G74" s="84"/>
    </row>
    <row r="75" spans="2:11" ht="15" customHeight="1" x14ac:dyDescent="0.2">
      <c r="C75" s="78"/>
      <c r="D75" s="82"/>
      <c r="E75" s="84"/>
      <c r="F75" s="83"/>
      <c r="G75" s="84"/>
    </row>
    <row r="76" spans="2:11" ht="15" customHeight="1" x14ac:dyDescent="0.2">
      <c r="C76" s="78"/>
      <c r="D76" s="82"/>
      <c r="E76" s="84"/>
      <c r="F76" s="83"/>
      <c r="G76" s="84"/>
    </row>
    <row r="77" spans="2:11" ht="15" customHeight="1" x14ac:dyDescent="0.2">
      <c r="C77" s="78"/>
      <c r="D77" s="82"/>
      <c r="E77" s="84"/>
      <c r="F77" s="83"/>
      <c r="G77" s="84"/>
    </row>
    <row r="78" spans="2:11" ht="15" customHeight="1" x14ac:dyDescent="0.2">
      <c r="C78" s="78"/>
      <c r="D78" s="82"/>
      <c r="E78" s="84"/>
      <c r="F78" s="83"/>
      <c r="G78" s="84"/>
    </row>
    <row r="79" spans="2:11" ht="15" customHeight="1" x14ac:dyDescent="0.2">
      <c r="C79" s="78"/>
      <c r="D79" s="82"/>
      <c r="E79" s="84"/>
      <c r="F79" s="83"/>
      <c r="G79" s="84"/>
    </row>
    <row r="80" spans="2:11" ht="15" customHeight="1" x14ac:dyDescent="0.2">
      <c r="C80" s="78"/>
      <c r="D80" s="82"/>
      <c r="E80" s="84"/>
      <c r="F80" s="83"/>
      <c r="G80" s="84"/>
    </row>
    <row r="81" spans="2:7" ht="15" customHeight="1" x14ac:dyDescent="0.2">
      <c r="C81" s="78"/>
      <c r="D81" s="82"/>
      <c r="E81" s="84"/>
      <c r="F81" s="83"/>
      <c r="G81" s="84"/>
    </row>
    <row r="82" spans="2:7" ht="15" customHeight="1" x14ac:dyDescent="0.2">
      <c r="C82" s="78"/>
      <c r="D82" s="82"/>
      <c r="E82" s="84"/>
      <c r="F82" s="83"/>
      <c r="G82" s="84"/>
    </row>
    <row r="83" spans="2:7" ht="15" customHeight="1" x14ac:dyDescent="0.2">
      <c r="C83" s="78"/>
      <c r="D83" s="82"/>
      <c r="E83" s="84"/>
      <c r="F83" s="83"/>
      <c r="G83" s="84"/>
    </row>
    <row r="84" spans="2:7" ht="15" customHeight="1" x14ac:dyDescent="0.2">
      <c r="C84" s="78"/>
      <c r="D84" s="82"/>
      <c r="E84" s="84"/>
      <c r="F84" s="83"/>
      <c r="G84" s="84"/>
    </row>
    <row r="85" spans="2:7" ht="15" customHeight="1" x14ac:dyDescent="0.2">
      <c r="C85" s="78"/>
      <c r="D85" s="82"/>
      <c r="E85" s="84"/>
      <c r="F85" s="83"/>
      <c r="G85" s="84"/>
    </row>
    <row r="86" spans="2:7" ht="15" customHeight="1" x14ac:dyDescent="0.2">
      <c r="C86" s="78"/>
      <c r="D86" s="82"/>
      <c r="E86" s="84"/>
      <c r="F86" s="83"/>
      <c r="G86" s="84"/>
    </row>
    <row r="87" spans="2:7" ht="15" customHeight="1" x14ac:dyDescent="0.2">
      <c r="C87" s="78"/>
      <c r="D87" s="82"/>
      <c r="E87" s="84"/>
      <c r="F87" s="83"/>
      <c r="G87" s="84"/>
    </row>
    <row r="88" spans="2:7" ht="15" customHeight="1" x14ac:dyDescent="0.2">
      <c r="C88" s="78"/>
      <c r="D88" s="82"/>
      <c r="E88" s="84"/>
      <c r="F88" s="83"/>
      <c r="G88" s="84"/>
    </row>
    <row r="89" spans="2:7" ht="15" customHeight="1" x14ac:dyDescent="0.2">
      <c r="C89" s="78"/>
      <c r="D89" s="82"/>
      <c r="E89" s="84"/>
      <c r="F89" s="83"/>
      <c r="G89" s="84"/>
    </row>
    <row r="90" spans="2:7" ht="15" customHeight="1" x14ac:dyDescent="0.2">
      <c r="B90" s="85" t="s">
        <v>151</v>
      </c>
      <c r="C90" s="86"/>
      <c r="D90" s="86"/>
      <c r="E90" s="86"/>
      <c r="F90" s="86"/>
      <c r="G90" s="86"/>
    </row>
    <row r="91" spans="2:7" ht="15" customHeight="1" x14ac:dyDescent="0.2">
      <c r="B91" s="159" t="str">
        <f>B157</f>
        <v>Please complete table to view estimates split into 4 tenures.</v>
      </c>
      <c r="C91" s="114"/>
      <c r="D91" s="114"/>
      <c r="E91" s="114"/>
      <c r="F91" s="114"/>
      <c r="G91" s="114"/>
    </row>
    <row r="92" spans="2:7" ht="15" customHeight="1" x14ac:dyDescent="0.2">
      <c r="B92" s="159"/>
      <c r="C92" s="154" t="str">
        <f t="shared" ref="C92:G96" si="4">C157</f>
        <v/>
      </c>
      <c r="D92" s="154" t="str">
        <f t="shared" si="4"/>
        <v/>
      </c>
      <c r="E92" s="154" t="str">
        <f t="shared" si="4"/>
        <v/>
      </c>
      <c r="F92" s="154" t="str">
        <f t="shared" si="4"/>
        <v/>
      </c>
      <c r="G92" s="154" t="str">
        <f t="shared" si="4"/>
        <v/>
      </c>
    </row>
    <row r="93" spans="2:7" ht="15" customHeight="1" x14ac:dyDescent="0.2">
      <c r="B93" s="153" t="str">
        <f>B158</f>
        <v/>
      </c>
      <c r="C93" s="160" t="str">
        <f t="shared" si="4"/>
        <v/>
      </c>
      <c r="D93" s="155" t="str">
        <f t="shared" si="4"/>
        <v/>
      </c>
      <c r="E93" s="155" t="str">
        <f t="shared" si="4"/>
        <v/>
      </c>
      <c r="F93" s="155" t="str">
        <f t="shared" si="4"/>
        <v/>
      </c>
      <c r="G93" s="155" t="str">
        <f t="shared" si="4"/>
        <v/>
      </c>
    </row>
    <row r="94" spans="2:7" ht="15" customHeight="1" x14ac:dyDescent="0.2">
      <c r="B94" s="153" t="str">
        <f>B159</f>
        <v/>
      </c>
      <c r="C94" s="155" t="str">
        <f t="shared" si="4"/>
        <v/>
      </c>
      <c r="D94" s="155" t="str">
        <f t="shared" si="4"/>
        <v/>
      </c>
      <c r="E94" s="155" t="str">
        <f t="shared" si="4"/>
        <v/>
      </c>
      <c r="F94" s="155" t="str">
        <f t="shared" si="4"/>
        <v/>
      </c>
      <c r="G94" s="155" t="str">
        <f t="shared" si="4"/>
        <v/>
      </c>
    </row>
    <row r="95" spans="2:7" ht="15" customHeight="1" x14ac:dyDescent="0.2">
      <c r="B95" s="155" t="str">
        <f>B160</f>
        <v/>
      </c>
      <c r="C95" s="155" t="str">
        <f t="shared" si="4"/>
        <v/>
      </c>
      <c r="D95" s="155" t="str">
        <f t="shared" si="4"/>
        <v/>
      </c>
      <c r="E95" s="155" t="str">
        <f t="shared" si="4"/>
        <v/>
      </c>
      <c r="F95" s="155" t="str">
        <f t="shared" si="4"/>
        <v/>
      </c>
      <c r="G95" s="155" t="str">
        <f t="shared" si="4"/>
        <v/>
      </c>
    </row>
    <row r="96" spans="2:7" ht="15" customHeight="1" x14ac:dyDescent="0.2">
      <c r="B96" s="155" t="str">
        <f>B161</f>
        <v/>
      </c>
      <c r="C96" s="155" t="str">
        <f t="shared" si="4"/>
        <v/>
      </c>
      <c r="D96" s="155" t="str">
        <f t="shared" si="4"/>
        <v/>
      </c>
      <c r="E96" s="155" t="str">
        <f t="shared" si="4"/>
        <v/>
      </c>
      <c r="F96" s="155" t="str">
        <f t="shared" si="4"/>
        <v/>
      </c>
      <c r="G96" s="155" t="str">
        <f t="shared" si="4"/>
        <v/>
      </c>
    </row>
    <row r="97" spans="2:20" ht="15" customHeight="1" x14ac:dyDescent="0.2"/>
    <row r="98" spans="2:20" ht="15" customHeight="1" x14ac:dyDescent="0.2">
      <c r="B98" s="74" t="s">
        <v>152</v>
      </c>
    </row>
    <row r="99" spans="2:20" ht="15" customHeight="1" x14ac:dyDescent="0.2">
      <c r="B99" s="114" t="str">
        <f>B162</f>
        <v>Please complete table to view estimates split into 4 tenures.</v>
      </c>
      <c r="C99" s="114"/>
      <c r="D99" s="114"/>
      <c r="E99" s="114"/>
      <c r="F99" s="114"/>
      <c r="G99" s="114"/>
      <c r="I99" s="387" t="str">
        <f>I162</f>
        <v/>
      </c>
      <c r="J99" s="387"/>
    </row>
    <row r="100" spans="2:20" ht="15" customHeight="1" x14ac:dyDescent="0.2">
      <c r="B100" s="114"/>
      <c r="C100" s="156" t="str">
        <f t="shared" ref="C100:G104" si="5">C162</f>
        <v/>
      </c>
      <c r="D100" s="156" t="str">
        <f t="shared" si="5"/>
        <v/>
      </c>
      <c r="E100" s="156" t="str">
        <f t="shared" si="5"/>
        <v/>
      </c>
      <c r="F100" s="156" t="str">
        <f t="shared" si="5"/>
        <v/>
      </c>
      <c r="G100" s="156" t="str">
        <f t="shared" si="5"/>
        <v/>
      </c>
      <c r="I100" s="158"/>
      <c r="J100" s="158"/>
    </row>
    <row r="101" spans="2:20" ht="15" customHeight="1" x14ac:dyDescent="0.2">
      <c r="B101" s="114" t="str">
        <f>B163</f>
        <v/>
      </c>
      <c r="C101" s="157" t="str">
        <f t="shared" si="5"/>
        <v/>
      </c>
      <c r="D101" s="157" t="str">
        <f t="shared" si="5"/>
        <v/>
      </c>
      <c r="E101" s="157" t="str">
        <f t="shared" si="5"/>
        <v/>
      </c>
      <c r="F101" s="157" t="str">
        <f t="shared" si="5"/>
        <v/>
      </c>
      <c r="G101" s="157" t="str">
        <f t="shared" si="5"/>
        <v/>
      </c>
      <c r="I101" s="376" t="str">
        <f>I163</f>
        <v/>
      </c>
      <c r="J101" s="376"/>
    </row>
    <row r="102" spans="2:20" ht="15" customHeight="1" x14ac:dyDescent="0.2">
      <c r="B102" s="114" t="str">
        <f>B164</f>
        <v/>
      </c>
      <c r="C102" s="157" t="str">
        <f t="shared" si="5"/>
        <v/>
      </c>
      <c r="D102" s="157" t="str">
        <f t="shared" si="5"/>
        <v/>
      </c>
      <c r="E102" s="157" t="str">
        <f t="shared" si="5"/>
        <v/>
      </c>
      <c r="F102" s="157" t="str">
        <f t="shared" si="5"/>
        <v/>
      </c>
      <c r="G102" s="157" t="str">
        <f t="shared" si="5"/>
        <v/>
      </c>
      <c r="I102" s="376" t="str">
        <f>I164</f>
        <v/>
      </c>
      <c r="J102" s="376"/>
    </row>
    <row r="103" spans="2:20" ht="14.25" customHeight="1" x14ac:dyDescent="0.2">
      <c r="B103" s="114" t="str">
        <f>B165</f>
        <v/>
      </c>
      <c r="C103" s="157" t="str">
        <f t="shared" si="5"/>
        <v/>
      </c>
      <c r="D103" s="157" t="str">
        <f t="shared" si="5"/>
        <v/>
      </c>
      <c r="E103" s="157" t="str">
        <f t="shared" si="5"/>
        <v/>
      </c>
      <c r="F103" s="157" t="str">
        <f t="shared" si="5"/>
        <v/>
      </c>
      <c r="G103" s="157" t="str">
        <f t="shared" si="5"/>
        <v/>
      </c>
      <c r="I103" s="376" t="str">
        <f>I165</f>
        <v/>
      </c>
      <c r="J103" s="376"/>
    </row>
    <row r="104" spans="2:20" ht="14.25" customHeight="1" x14ac:dyDescent="0.2">
      <c r="B104" s="114" t="str">
        <f>B166</f>
        <v/>
      </c>
      <c r="C104" s="157" t="str">
        <f t="shared" si="5"/>
        <v/>
      </c>
      <c r="D104" s="157" t="str">
        <f t="shared" si="5"/>
        <v/>
      </c>
      <c r="E104" s="157" t="str">
        <f t="shared" si="5"/>
        <v/>
      </c>
      <c r="F104" s="157" t="str">
        <f t="shared" si="5"/>
        <v/>
      </c>
      <c r="G104" s="157" t="str">
        <f t="shared" si="5"/>
        <v/>
      </c>
      <c r="I104" s="376" t="str">
        <f>I166</f>
        <v/>
      </c>
      <c r="J104" s="376"/>
    </row>
    <row r="105" spans="2:20" ht="14.25" customHeight="1" x14ac:dyDescent="0.2">
      <c r="C105" s="74"/>
      <c r="M105" s="87"/>
      <c r="N105" s="88"/>
      <c r="O105" s="88"/>
      <c r="P105" s="88"/>
      <c r="Q105" s="88"/>
      <c r="R105" s="88"/>
      <c r="S105" s="87"/>
      <c r="T105" s="89"/>
    </row>
    <row r="106" spans="2:20" ht="14.25" customHeight="1" x14ac:dyDescent="0.25">
      <c r="B106" s="72" t="s">
        <v>156</v>
      </c>
      <c r="M106" s="87"/>
      <c r="N106" s="88"/>
      <c r="O106" s="88"/>
      <c r="P106" s="88"/>
      <c r="Q106" s="88"/>
      <c r="R106" s="88"/>
      <c r="S106" s="87"/>
      <c r="T106" s="89"/>
    </row>
    <row r="107" spans="2:20" ht="14.25" customHeight="1" x14ac:dyDescent="0.2">
      <c r="B107" s="165"/>
      <c r="C107" s="166" t="s">
        <v>9</v>
      </c>
      <c r="D107" s="166" t="s">
        <v>10</v>
      </c>
      <c r="E107" s="166" t="s">
        <v>11</v>
      </c>
      <c r="F107" s="166" t="s">
        <v>12</v>
      </c>
      <c r="G107" s="167" t="s">
        <v>13</v>
      </c>
      <c r="M107" s="87"/>
      <c r="N107" s="88"/>
      <c r="O107" s="88"/>
      <c r="P107" s="88"/>
      <c r="Q107" s="88"/>
      <c r="R107" s="88"/>
      <c r="S107" s="87"/>
      <c r="T107" s="89"/>
    </row>
    <row r="108" spans="2:20" ht="25.5" x14ac:dyDescent="0.2">
      <c r="B108" s="168" t="s">
        <v>166</v>
      </c>
      <c r="C108" s="170">
        <f>'Tenure Split (WALES)'!C108</f>
        <v>0.3</v>
      </c>
      <c r="D108" s="170">
        <f>'Tenure Split (WALES)'!D108</f>
        <v>0.3</v>
      </c>
      <c r="E108" s="170">
        <f>'Tenure Split (WALES)'!E108</f>
        <v>0.3</v>
      </c>
      <c r="F108" s="170">
        <f>'Tenure Split (WALES)'!F108</f>
        <v>0.3</v>
      </c>
      <c r="G108" s="171">
        <f>'Tenure Split (WALES)'!G108</f>
        <v>0.3</v>
      </c>
      <c r="O108" s="88"/>
      <c r="P108" s="88"/>
      <c r="Q108" s="88"/>
      <c r="R108" s="88"/>
      <c r="S108" s="87"/>
      <c r="T108" s="89"/>
    </row>
    <row r="109" spans="2:20" ht="25.5" x14ac:dyDescent="0.2">
      <c r="B109" s="168" t="s">
        <v>168</v>
      </c>
      <c r="C109" s="170">
        <f>'Tenure Split (WALES)'!C109</f>
        <v>3.5377362656780903E-2</v>
      </c>
      <c r="D109" s="170">
        <f>'Tenure Split (WALES)'!D109</f>
        <v>2.571119448209791E-2</v>
      </c>
      <c r="E109" s="170">
        <f>'Tenure Split (WALES)'!E109</f>
        <v>3.2803011550502595E-2</v>
      </c>
      <c r="F109" s="170">
        <f>'Tenure Split (WALES)'!F109</f>
        <v>3.70858525612624E-2</v>
      </c>
      <c r="G109" s="171">
        <f>'Tenure Split (WALES)'!G109</f>
        <v>3.8062223065459387E-2</v>
      </c>
      <c r="O109" s="88"/>
      <c r="P109" s="88"/>
      <c r="Q109" s="88"/>
      <c r="R109" s="88"/>
      <c r="S109" s="87"/>
      <c r="T109" s="89"/>
    </row>
    <row r="110" spans="2:20" ht="38.25" x14ac:dyDescent="0.2">
      <c r="B110" s="168" t="s">
        <v>169</v>
      </c>
      <c r="C110" s="170">
        <f>'Tenure Split (WALES)'!C110</f>
        <v>0.01</v>
      </c>
      <c r="D110" s="170">
        <f>'Tenure Split (WALES)'!D110</f>
        <v>0.01</v>
      </c>
      <c r="E110" s="170">
        <f>'Tenure Split (WALES)'!E110</f>
        <v>0.01</v>
      </c>
      <c r="F110" s="170">
        <f>'Tenure Split (WALES)'!F110</f>
        <v>0.01</v>
      </c>
      <c r="G110" s="171">
        <f>'Tenure Split (WALES)'!G110</f>
        <v>0.01</v>
      </c>
      <c r="O110" s="88"/>
      <c r="P110" s="88"/>
      <c r="Q110" s="88"/>
      <c r="R110" s="88"/>
      <c r="S110" s="87"/>
      <c r="T110" s="89"/>
    </row>
    <row r="111" spans="2:20" ht="25.5" x14ac:dyDescent="0.2">
      <c r="B111" s="168" t="s">
        <v>171</v>
      </c>
      <c r="C111" s="170">
        <f>'Tenure Split (WALES)'!C111</f>
        <v>2.9066130553574002E-2</v>
      </c>
      <c r="D111" s="170">
        <f>'Tenure Split (WALES)'!D111</f>
        <v>2.9536238937667179E-2</v>
      </c>
      <c r="E111" s="170">
        <f>'Tenure Split (WALES)'!E111</f>
        <v>3.0600923725820621E-2</v>
      </c>
      <c r="F111" s="170">
        <f>'Tenure Split (WALES)'!F111</f>
        <v>3.1212408697362831E-2</v>
      </c>
      <c r="G111" s="171">
        <f>'Tenure Split (WALES)'!G111</f>
        <v>3.1716449662899181E-2</v>
      </c>
      <c r="O111" s="88"/>
      <c r="P111" s="88"/>
      <c r="Q111" s="88"/>
      <c r="R111" s="88"/>
      <c r="S111" s="87"/>
      <c r="T111" s="89"/>
    </row>
    <row r="112" spans="2:20" x14ac:dyDescent="0.2">
      <c r="B112" s="168" t="s">
        <v>138</v>
      </c>
      <c r="C112" s="172">
        <f>INDEX('Rental Prices'!$D$24:$D$25,MATCH('Tenure Split (SE Wales)'!$D$9,'Rental Prices'!$B$24:$B$25,0))*(1+C111)</f>
        <v>6791.8364616535882</v>
      </c>
      <c r="D112" s="172">
        <f>C112*(1+D111)</f>
        <v>6992.4417662105488</v>
      </c>
      <c r="E112" s="172">
        <f t="shared" ref="E112:G112" si="6">D112*(1+E111)</f>
        <v>7206.4169433556008</v>
      </c>
      <c r="F112" s="172">
        <f t="shared" si="6"/>
        <v>7431.3465742352164</v>
      </c>
      <c r="G112" s="173">
        <f t="shared" si="6"/>
        <v>7667.0425037845062</v>
      </c>
      <c r="O112" s="88"/>
      <c r="P112" s="88"/>
      <c r="Q112" s="88"/>
      <c r="R112" s="88"/>
      <c r="S112" s="87"/>
      <c r="T112" s="89"/>
    </row>
    <row r="113" spans="2:20" ht="25.5" x14ac:dyDescent="0.2">
      <c r="B113" s="168" t="s">
        <v>139</v>
      </c>
      <c r="C113" s="172">
        <f>INDEX('Rental Prices'!$C$24:$C$25,MATCH('Tenure Split (SE Wales)'!$D$9,'Rental Prices'!$B$24:$B$25,0))*(1+C111)</f>
        <v>5865.9239200267048</v>
      </c>
      <c r="D113" s="172">
        <f>C113*(1+D111)</f>
        <v>6039.1812505187909</v>
      </c>
      <c r="E113" s="172">
        <f t="shared" ref="E113:G113" si="7">D113*(1+E111)</f>
        <v>6223.9857753323231</v>
      </c>
      <c r="F113" s="172">
        <f t="shared" si="7"/>
        <v>6418.2513630785688</v>
      </c>
      <c r="G113" s="173">
        <f t="shared" si="7"/>
        <v>6621.8155093594842</v>
      </c>
      <c r="O113" s="88"/>
      <c r="P113" s="88"/>
      <c r="Q113" s="88"/>
      <c r="R113" s="88"/>
      <c r="S113" s="87"/>
      <c r="T113" s="89"/>
    </row>
    <row r="114" spans="2:20" x14ac:dyDescent="0.2">
      <c r="B114" s="164" t="s">
        <v>161</v>
      </c>
      <c r="C114" s="174">
        <f>'Tenure Split (WALES)'!C114</f>
        <v>3.8</v>
      </c>
      <c r="D114" s="174">
        <f>'Tenure Split (WALES)'!D114</f>
        <v>3.8</v>
      </c>
      <c r="E114" s="174">
        <f>'Tenure Split (WALES)'!E114</f>
        <v>3.8</v>
      </c>
      <c r="F114" s="174">
        <f>'Tenure Split (WALES)'!F114</f>
        <v>3.8</v>
      </c>
      <c r="G114" s="175">
        <f>'Tenure Split (WALES)'!G114</f>
        <v>3.8</v>
      </c>
      <c r="O114" s="88"/>
      <c r="P114" s="88"/>
      <c r="Q114" s="88"/>
      <c r="R114" s="88"/>
      <c r="S114" s="87"/>
      <c r="T114" s="89"/>
    </row>
    <row r="115" spans="2:20" ht="25.5" x14ac:dyDescent="0.2">
      <c r="B115" s="164" t="s">
        <v>45</v>
      </c>
      <c r="C115" s="174">
        <f>'Tenure Split (WALES)'!C115</f>
        <v>25</v>
      </c>
      <c r="D115" s="174">
        <f>'Tenure Split (WALES)'!D115</f>
        <v>25</v>
      </c>
      <c r="E115" s="174">
        <f>'Tenure Split (WALES)'!E115</f>
        <v>25</v>
      </c>
      <c r="F115" s="174">
        <f>'Tenure Split (WALES)'!F115</f>
        <v>25</v>
      </c>
      <c r="G115" s="175">
        <f>'Tenure Split (WALES)'!G115</f>
        <v>25</v>
      </c>
      <c r="O115" s="88"/>
      <c r="P115" s="88"/>
      <c r="Q115" s="88"/>
      <c r="R115" s="88"/>
      <c r="S115" s="87"/>
      <c r="T115" s="89"/>
    </row>
    <row r="116" spans="2:20" ht="25.5" x14ac:dyDescent="0.2">
      <c r="B116" s="164" t="s">
        <v>165</v>
      </c>
      <c r="C116" s="176" t="str">
        <f>'Tenure Split (WALES)'!C116</f>
        <v>-</v>
      </c>
      <c r="D116" s="176" t="str">
        <f>'Tenure Split (WALES)'!D116</f>
        <v>-</v>
      </c>
      <c r="E116" s="176" t="str">
        <f>'Tenure Split (WALES)'!E116</f>
        <v>-</v>
      </c>
      <c r="F116" s="176" t="str">
        <f>'Tenure Split (WALES)'!F116</f>
        <v>-</v>
      </c>
      <c r="G116" s="177" t="str">
        <f>'Tenure Split (WALES)'!G116</f>
        <v>-</v>
      </c>
      <c r="O116" s="88"/>
      <c r="P116" s="88"/>
      <c r="Q116" s="88"/>
      <c r="R116" s="88"/>
      <c r="S116" s="87"/>
      <c r="T116" s="89"/>
    </row>
    <row r="117" spans="2:20" ht="25.5" x14ac:dyDescent="0.2">
      <c r="B117" s="164" t="s">
        <v>167</v>
      </c>
      <c r="C117" s="176">
        <f>'Tenure Split (WALES)'!C117</f>
        <v>0.35</v>
      </c>
      <c r="D117" s="176">
        <f>'Tenure Split (WALES)'!D117</f>
        <v>0.35</v>
      </c>
      <c r="E117" s="176">
        <f>'Tenure Split (WALES)'!E117</f>
        <v>0.35</v>
      </c>
      <c r="F117" s="176">
        <f>'Tenure Split (WALES)'!F117</f>
        <v>0.35</v>
      </c>
      <c r="G117" s="177">
        <f>'Tenure Split (WALES)'!G117</f>
        <v>0.35</v>
      </c>
      <c r="O117" s="88"/>
      <c r="P117" s="88"/>
      <c r="Q117" s="88"/>
      <c r="R117" s="88"/>
      <c r="S117" s="87"/>
      <c r="T117" s="89"/>
    </row>
    <row r="118" spans="2:20" ht="25.5" x14ac:dyDescent="0.2">
      <c r="B118" s="169" t="s">
        <v>170</v>
      </c>
      <c r="C118" s="178">
        <f>'Tenure Split (WALES)'!C118</f>
        <v>2.8405585293094449E-2</v>
      </c>
      <c r="D118" s="178">
        <f>'Tenure Split (WALES)'!D118</f>
        <v>2.2265547421218557E-3</v>
      </c>
      <c r="E118" s="178">
        <f>'Tenure Split (WALES)'!E118</f>
        <v>2.1524380028468126E-2</v>
      </c>
      <c r="F118" s="178">
        <f>'Tenure Split (WALES)'!F118</f>
        <v>3.8999168521062666E-2</v>
      </c>
      <c r="G118" s="179">
        <f>'Tenure Split (WALES)'!G118</f>
        <v>4.147992390238664E-2</v>
      </c>
      <c r="O118" s="88"/>
      <c r="P118" s="88"/>
      <c r="Q118" s="88"/>
      <c r="R118" s="88"/>
      <c r="S118" s="87"/>
      <c r="T118" s="89"/>
    </row>
    <row r="119" spans="2:20" ht="14.25" customHeight="1" x14ac:dyDescent="0.2">
      <c r="C119" s="74"/>
      <c r="M119" s="87"/>
      <c r="N119" s="88"/>
      <c r="O119" s="88"/>
      <c r="P119" s="88"/>
      <c r="Q119" s="88"/>
      <c r="R119" s="88"/>
      <c r="S119" s="87"/>
      <c r="T119" s="89"/>
    </row>
    <row r="120" spans="2:20" ht="14.25" hidden="1" customHeight="1" x14ac:dyDescent="0.2">
      <c r="B120" s="117" t="s">
        <v>118</v>
      </c>
      <c r="C120" s="118"/>
      <c r="L120" s="87"/>
      <c r="M120" s="88"/>
      <c r="N120" s="88"/>
      <c r="O120" s="88"/>
      <c r="P120" s="88"/>
      <c r="R120" s="88"/>
      <c r="S120" s="87"/>
      <c r="T120" s="89"/>
    </row>
    <row r="121" spans="2:20" ht="14.25" hidden="1" customHeight="1" x14ac:dyDescent="0.2">
      <c r="B121" s="117" t="s">
        <v>51</v>
      </c>
      <c r="C121" s="119" t="s">
        <v>79</v>
      </c>
      <c r="G121" s="87"/>
      <c r="L121" s="87"/>
      <c r="M121" s="87"/>
      <c r="N121" s="87"/>
      <c r="O121" s="87"/>
      <c r="P121" s="87"/>
      <c r="R121" s="87"/>
      <c r="S121" s="87"/>
      <c r="T121" s="87"/>
    </row>
    <row r="122" spans="2:20" ht="14.25" hidden="1" customHeight="1" x14ac:dyDescent="0.2">
      <c r="B122" s="118" t="s">
        <v>52</v>
      </c>
      <c r="C122" s="118">
        <f>IF(E6="Y",0,1)</f>
        <v>0</v>
      </c>
      <c r="G122" s="87"/>
    </row>
    <row r="123" spans="2:20" ht="14.25" hidden="1" customHeight="1" x14ac:dyDescent="0.2">
      <c r="B123" s="118" t="s">
        <v>23</v>
      </c>
      <c r="C123" s="118">
        <f>IF(E7="Y",0,1)</f>
        <v>0</v>
      </c>
      <c r="G123" s="87"/>
    </row>
    <row r="124" spans="2:20" ht="14.25" hidden="1" customHeight="1" x14ac:dyDescent="0.2">
      <c r="B124" s="118" t="s">
        <v>53</v>
      </c>
      <c r="C124" s="118">
        <f>IF(E8="Y",0,1)</f>
        <v>0</v>
      </c>
      <c r="G124" s="87"/>
    </row>
    <row r="125" spans="2:20" ht="14.25" hidden="1" customHeight="1" x14ac:dyDescent="0.2">
      <c r="B125" s="118" t="s">
        <v>21</v>
      </c>
      <c r="C125" s="118">
        <f>IF(E9="Y",0,1)</f>
        <v>0</v>
      </c>
      <c r="G125" s="87"/>
    </row>
    <row r="126" spans="2:20" ht="14.25" hidden="1" customHeight="1" x14ac:dyDescent="0.2">
      <c r="B126" s="117" t="s">
        <v>50</v>
      </c>
      <c r="C126" s="118"/>
      <c r="G126" s="87"/>
    </row>
    <row r="127" spans="2:20" ht="14.25" hidden="1" customHeight="1" x14ac:dyDescent="0.2">
      <c r="B127" s="118" t="s">
        <v>18</v>
      </c>
      <c r="C127" s="118">
        <f>IF(E11="Y",0,1)</f>
        <v>0</v>
      </c>
      <c r="G127" s="87"/>
    </row>
    <row r="128" spans="2:20" ht="14.25" hidden="1" customHeight="1" x14ac:dyDescent="0.2">
      <c r="B128" s="118" t="s">
        <v>55</v>
      </c>
      <c r="C128" s="118">
        <f>IF(E12="Y",0,1)</f>
        <v>0</v>
      </c>
      <c r="G128" s="87"/>
    </row>
    <row r="129" spans="2:7" ht="14.25" hidden="1" customHeight="1" x14ac:dyDescent="0.2">
      <c r="B129" s="117" t="s">
        <v>56</v>
      </c>
      <c r="C129" s="118"/>
      <c r="G129" s="87"/>
    </row>
    <row r="130" spans="2:7" ht="14.25" hidden="1" customHeight="1" x14ac:dyDescent="0.2">
      <c r="B130" s="118" t="s">
        <v>57</v>
      </c>
      <c r="C130" s="118">
        <f>IF(E14="Y",0,1)</f>
        <v>0</v>
      </c>
      <c r="G130" s="87"/>
    </row>
    <row r="131" spans="2:7" ht="14.25" hidden="1" customHeight="1" x14ac:dyDescent="0.2">
      <c r="B131" s="118" t="s">
        <v>58</v>
      </c>
      <c r="C131" s="118">
        <f>IF(E15="Y",0,1)</f>
        <v>0</v>
      </c>
      <c r="G131" s="87"/>
    </row>
    <row r="132" spans="2:7" ht="14.25" hidden="1" customHeight="1" x14ac:dyDescent="0.2">
      <c r="B132" s="118" t="s">
        <v>60</v>
      </c>
      <c r="C132" s="118">
        <f>IF(E16="Y",0,1)</f>
        <v>0</v>
      </c>
      <c r="G132" s="87"/>
    </row>
    <row r="133" spans="2:7" ht="14.25" hidden="1" customHeight="1" x14ac:dyDescent="0.2">
      <c r="B133" s="118" t="s">
        <v>119</v>
      </c>
      <c r="C133" s="118">
        <f>IF(SUM(C122:C132)&gt;0,1,0)</f>
        <v>0</v>
      </c>
      <c r="G133" s="87"/>
    </row>
    <row r="134" spans="2:7" ht="14.25" hidden="1" customHeight="1" x14ac:dyDescent="0.2">
      <c r="G134" s="87"/>
    </row>
    <row r="135" spans="2:7" ht="14.25" hidden="1" customHeight="1" x14ac:dyDescent="0.2">
      <c r="B135" s="113" t="s">
        <v>120</v>
      </c>
      <c r="C135" s="114"/>
      <c r="G135" s="87"/>
    </row>
    <row r="136" spans="2:7" ht="14.25" hidden="1" customHeight="1" x14ac:dyDescent="0.2">
      <c r="B136" s="113" t="s">
        <v>51</v>
      </c>
      <c r="C136" s="114"/>
      <c r="G136" s="87"/>
    </row>
    <row r="137" spans="2:7" ht="14.25" hidden="1" customHeight="1" x14ac:dyDescent="0.2">
      <c r="B137" s="114" t="s">
        <v>54</v>
      </c>
      <c r="C137" s="114">
        <f>IF(E18="Y",0,1)</f>
        <v>0</v>
      </c>
      <c r="G137" s="87"/>
    </row>
    <row r="138" spans="2:7" ht="14.25" hidden="1" customHeight="1" x14ac:dyDescent="0.2">
      <c r="B138" s="113" t="s">
        <v>50</v>
      </c>
      <c r="C138" s="114"/>
      <c r="G138" s="87"/>
    </row>
    <row r="139" spans="2:7" ht="14.25" hidden="1" customHeight="1" x14ac:dyDescent="0.2">
      <c r="B139" s="114" t="s">
        <v>16</v>
      </c>
      <c r="C139" s="114">
        <f>IF(E20="Y",0,1)</f>
        <v>0</v>
      </c>
      <c r="G139" s="87"/>
    </row>
    <row r="140" spans="2:7" ht="18.75" hidden="1" customHeight="1" x14ac:dyDescent="0.2">
      <c r="B140" s="114" t="s">
        <v>22</v>
      </c>
      <c r="C140" s="114">
        <f>IF(E21="Y",0,1)</f>
        <v>0</v>
      </c>
      <c r="G140" s="87"/>
    </row>
    <row r="141" spans="2:7" ht="18.75" hidden="1" customHeight="1" x14ac:dyDescent="0.2">
      <c r="B141" s="114" t="s">
        <v>17</v>
      </c>
      <c r="C141" s="114">
        <f>IF(E22="Y",0,1)</f>
        <v>1</v>
      </c>
      <c r="G141" s="87"/>
    </row>
    <row r="142" spans="2:7" hidden="1" x14ac:dyDescent="0.2">
      <c r="B142" s="114" t="s">
        <v>19</v>
      </c>
      <c r="C142" s="114">
        <f>IF(E23="Y",0,1)</f>
        <v>0</v>
      </c>
    </row>
    <row r="143" spans="2:7" hidden="1" x14ac:dyDescent="0.2">
      <c r="B143" s="113" t="s">
        <v>56</v>
      </c>
      <c r="C143" s="114"/>
    </row>
    <row r="144" spans="2:7" hidden="1" x14ac:dyDescent="0.2">
      <c r="B144" s="114" t="s">
        <v>59</v>
      </c>
      <c r="C144" s="114">
        <f>IF(E25="Y",0,1)</f>
        <v>0</v>
      </c>
    </row>
    <row r="145" spans="2:10" hidden="1" x14ac:dyDescent="0.2">
      <c r="B145" s="114" t="s">
        <v>121</v>
      </c>
      <c r="C145" s="114">
        <f>IF(SUM(C133,C137:C144)=0,0,1)</f>
        <v>1</v>
      </c>
    </row>
    <row r="146" spans="2:10" hidden="1" x14ac:dyDescent="0.2">
      <c r="C146" s="90"/>
      <c r="D146" s="90"/>
      <c r="E146" s="90"/>
      <c r="F146" s="90"/>
      <c r="G146" s="90"/>
      <c r="I146" s="90"/>
    </row>
    <row r="147" spans="2:10" hidden="1" x14ac:dyDescent="0.2">
      <c r="B147" s="117" t="s">
        <v>122</v>
      </c>
      <c r="C147" s="118"/>
      <c r="D147" s="118"/>
      <c r="E147" s="118"/>
      <c r="F147" s="118"/>
      <c r="G147" s="118"/>
      <c r="H147" s="118"/>
      <c r="I147" s="118"/>
      <c r="J147" s="118"/>
    </row>
    <row r="148" spans="2:10" hidden="1" x14ac:dyDescent="0.2">
      <c r="B148" s="118" t="str">
        <f>IF(C133=1,"Please complete table to view figures.","")</f>
        <v/>
      </c>
      <c r="C148" s="118" t="str">
        <f>IF($C$133=0,"2018/19","")</f>
        <v>2018/19</v>
      </c>
      <c r="D148" s="118" t="str">
        <f>IF($C$133=0,"2019/20","")</f>
        <v>2019/20</v>
      </c>
      <c r="E148" s="118" t="str">
        <f>IF($C$133=0,"2020/21","")</f>
        <v>2020/21</v>
      </c>
      <c r="F148" s="118" t="str">
        <f>IF($C$133=0,"2021/22","")</f>
        <v>2021/22</v>
      </c>
      <c r="G148" s="118" t="str">
        <f>IF($C$133=0,"2022/23","")</f>
        <v>2022/23</v>
      </c>
      <c r="H148" s="118"/>
      <c r="I148" s="118"/>
      <c r="J148" s="118"/>
    </row>
    <row r="149" spans="2:10" hidden="1" x14ac:dyDescent="0.2">
      <c r="B149" s="118" t="str">
        <f>IF($C$133=0,"Market Housing","")</f>
        <v>Market Housing</v>
      </c>
      <c r="C149" s="120">
        <f>IF($C$133=0,'Workings - SE Wales'!C29,"")</f>
        <v>2432.4</v>
      </c>
      <c r="D149" s="120">
        <f>IF($C$133=0,'Workings - SE Wales'!D29,"")</f>
        <v>2369.4</v>
      </c>
      <c r="E149" s="120">
        <f>IF($C$133=0,'Workings - SE Wales'!E29,"")</f>
        <v>2412.6</v>
      </c>
      <c r="F149" s="120">
        <f>IF($C$133=0,'Workings - SE Wales'!F29,"")</f>
        <v>2571</v>
      </c>
      <c r="G149" s="120">
        <f>IF($C$133=0,'Workings - SE Wales'!G29,"")</f>
        <v>2465.4</v>
      </c>
      <c r="H149" s="118"/>
      <c r="I149" s="118"/>
      <c r="J149" s="118"/>
    </row>
    <row r="150" spans="2:10" hidden="1" x14ac:dyDescent="0.2">
      <c r="B150" s="118" t="str">
        <f>IF($C$133=0,"Affordable Housing","")</f>
        <v>Affordable Housing</v>
      </c>
      <c r="C150" s="120">
        <f>IF($C$133=0,'Workings - SE Wales'!C30,"")</f>
        <v>2270.9999999999995</v>
      </c>
      <c r="D150" s="120">
        <f>IF($C$133=0,'Workings - SE Wales'!D30,"")</f>
        <v>2228.9999999999995</v>
      </c>
      <c r="E150" s="120">
        <f>IF($C$133=0,'Workings - SE Wales'!E30,"")</f>
        <v>2257.7999999999997</v>
      </c>
      <c r="F150" s="120">
        <f>IF($C$133=0,'Workings - SE Wales'!F30,"")</f>
        <v>2363.3999999999996</v>
      </c>
      <c r="G150" s="120">
        <f>IF($C$133=0,'Workings - SE Wales'!G30,"")</f>
        <v>2292.9999999999995</v>
      </c>
      <c r="H150" s="118"/>
      <c r="I150" s="118"/>
      <c r="J150" s="118"/>
    </row>
    <row r="151" spans="2:10" hidden="1" x14ac:dyDescent="0.2">
      <c r="B151" s="118" t="str">
        <f>IF(C133=1,"Please complete table to view figures.","")</f>
        <v/>
      </c>
      <c r="C151" s="118" t="str">
        <f>IF($C$133=0,"2018/19","")</f>
        <v>2018/19</v>
      </c>
      <c r="D151" s="118" t="str">
        <f>IF($C$133=0,"2019/20","")</f>
        <v>2019/20</v>
      </c>
      <c r="E151" s="118" t="str">
        <f>IF($C$133=0,"2020/21","")</f>
        <v>2020/21</v>
      </c>
      <c r="F151" s="118" t="str">
        <f>IF($C$133=0,"2021/22","")</f>
        <v>2021/22</v>
      </c>
      <c r="G151" s="118" t="str">
        <f>IF($C$133=0,"2022/23","")</f>
        <v>2022/23</v>
      </c>
      <c r="H151" s="118"/>
      <c r="I151" s="118" t="str">
        <f>IF(C133=1,"","Overall 5 Year Split")</f>
        <v>Overall 5 Year Split</v>
      </c>
      <c r="J151" s="118"/>
    </row>
    <row r="152" spans="2:10" hidden="1" x14ac:dyDescent="0.2">
      <c r="B152" s="118" t="str">
        <f>IF($C$133=0,"Market Housing","")</f>
        <v>Market Housing</v>
      </c>
      <c r="C152" s="121">
        <f>IF($C$133=1,"",C149/SUM(C$149:C$150))</f>
        <v>0.51715780073989037</v>
      </c>
      <c r="D152" s="121">
        <f t="shared" ref="D152:G153" si="8">IF($C$133=1,"",D149/SUM(D$149:D$150))</f>
        <v>0.51526617954070986</v>
      </c>
      <c r="E152" s="121">
        <f t="shared" si="8"/>
        <v>0.51657245632065774</v>
      </c>
      <c r="F152" s="121">
        <f t="shared" si="8"/>
        <v>0.52103599221789887</v>
      </c>
      <c r="G152" s="121">
        <f t="shared" si="8"/>
        <v>0.51811533288500344</v>
      </c>
      <c r="H152" s="118"/>
      <c r="I152" s="121">
        <f>IF($C$133=1,"",SUM(C149:G149)/SUM($C$149:$G$150))</f>
        <v>0.51767589266849778</v>
      </c>
      <c r="J152" s="118"/>
    </row>
    <row r="153" spans="2:10" hidden="1" x14ac:dyDescent="0.2">
      <c r="B153" s="118" t="str">
        <f>IF($C$133=0,"Affordable","")</f>
        <v>Affordable</v>
      </c>
      <c r="C153" s="121">
        <f>IF($C$133=1,"",C150/SUM(C$149:C$150))</f>
        <v>0.48284219926010963</v>
      </c>
      <c r="D153" s="121">
        <f t="shared" si="8"/>
        <v>0.48473382045929014</v>
      </c>
      <c r="E153" s="121">
        <f t="shared" si="8"/>
        <v>0.48342754367934221</v>
      </c>
      <c r="F153" s="121">
        <f t="shared" si="8"/>
        <v>0.47896400778210113</v>
      </c>
      <c r="G153" s="121">
        <f t="shared" si="8"/>
        <v>0.48188466711499656</v>
      </c>
      <c r="H153" s="118"/>
      <c r="I153" s="121">
        <f>IF($C$133=1,"",SUM(C150:G150)/SUM($C$149:$G$150))</f>
        <v>0.48232410733150216</v>
      </c>
      <c r="J153" s="118"/>
    </row>
    <row r="154" spans="2:10" hidden="1" x14ac:dyDescent="0.2">
      <c r="C154" s="90"/>
      <c r="D154" s="90"/>
      <c r="E154" s="90"/>
      <c r="F154" s="90"/>
      <c r="G154" s="90"/>
      <c r="I154" s="90"/>
    </row>
    <row r="155" spans="2:10" hidden="1" x14ac:dyDescent="0.2">
      <c r="C155" s="90"/>
      <c r="D155" s="90"/>
      <c r="E155" s="90"/>
      <c r="F155" s="90"/>
      <c r="G155" s="90"/>
      <c r="I155" s="90"/>
    </row>
    <row r="156" spans="2:10" hidden="1" x14ac:dyDescent="0.2">
      <c r="B156" s="113" t="s">
        <v>117</v>
      </c>
      <c r="C156" s="114"/>
      <c r="D156" s="114"/>
      <c r="E156" s="114"/>
      <c r="F156" s="114"/>
      <c r="G156" s="114"/>
      <c r="H156" s="114"/>
      <c r="I156" s="114"/>
      <c r="J156" s="114"/>
    </row>
    <row r="157" spans="2:10" hidden="1" x14ac:dyDescent="0.2">
      <c r="B157" s="114" t="str">
        <f>IF(C145=1,"Please complete table to view estimates split into 4 tenures.","")</f>
        <v>Please complete table to view estimates split into 4 tenures.</v>
      </c>
      <c r="C157" s="114" t="str">
        <f>IF($C$145=0,"2018/19","")</f>
        <v/>
      </c>
      <c r="D157" s="114" t="str">
        <f>IF($C$145=0,"2019/20","")</f>
        <v/>
      </c>
      <c r="E157" s="114" t="str">
        <f>IF($C$145=0,"2020/21","")</f>
        <v/>
      </c>
      <c r="F157" s="114" t="str">
        <f>IF($C$145=0,"2021/22","")</f>
        <v/>
      </c>
      <c r="G157" s="114" t="str">
        <f>IF($C$145=0,"2022/23","")</f>
        <v/>
      </c>
      <c r="H157" s="114"/>
      <c r="I157" s="114"/>
      <c r="J157" s="114"/>
    </row>
    <row r="158" spans="2:10" hidden="1" x14ac:dyDescent="0.2">
      <c r="B158" s="114" t="str">
        <f>IF($C$145=0,"Owner Occupier","")</f>
        <v/>
      </c>
      <c r="C158" s="115" t="str">
        <f>IF($C$145=0,'Workings - SE Wales'!C59,"")</f>
        <v/>
      </c>
      <c r="D158" s="115" t="str">
        <f>IF($C$145=0,'Workings - SE Wales'!D59,"")</f>
        <v/>
      </c>
      <c r="E158" s="115" t="str">
        <f>IF($C$145=0,'Workings - SE Wales'!E59,"")</f>
        <v/>
      </c>
      <c r="F158" s="115" t="str">
        <f>IF($C$145=0,'Workings - SE Wales'!F59,"")</f>
        <v/>
      </c>
      <c r="G158" s="115" t="str">
        <f>IF($C$145=0,'Workings - SE Wales'!G59,"")</f>
        <v/>
      </c>
      <c r="H158" s="114"/>
      <c r="I158" s="114"/>
      <c r="J158" s="114"/>
    </row>
    <row r="159" spans="2:10" hidden="1" x14ac:dyDescent="0.2">
      <c r="B159" s="114" t="str">
        <f>IF($C$145=0,"PRS","")</f>
        <v/>
      </c>
      <c r="C159" s="115" t="str">
        <f>IF($C$145=0,'Workings - SE Wales'!C60,"")</f>
        <v/>
      </c>
      <c r="D159" s="115" t="str">
        <f>IF($C$145=0,'Workings - SE Wales'!D60,"")</f>
        <v/>
      </c>
      <c r="E159" s="115" t="str">
        <f>IF($C$145=0,'Workings - SE Wales'!E60,"")</f>
        <v/>
      </c>
      <c r="F159" s="115" t="str">
        <f>IF($C$145=0,'Workings - SE Wales'!F60,"")</f>
        <v/>
      </c>
      <c r="G159" s="115" t="str">
        <f>IF($C$145=0,'Workings - SE Wales'!G60,"")</f>
        <v/>
      </c>
      <c r="H159" s="114"/>
      <c r="I159" s="114"/>
      <c r="J159" s="114"/>
    </row>
    <row r="160" spans="2:10" hidden="1" x14ac:dyDescent="0.2">
      <c r="B160" s="114" t="str">
        <f>IF($C$145=0,"Social","")</f>
        <v/>
      </c>
      <c r="C160" s="115" t="str">
        <f>IF($C$145=0,'Workings - SE Wales'!C61,"")</f>
        <v/>
      </c>
      <c r="D160" s="115" t="str">
        <f>IF($C$145=0,'Workings - SE Wales'!D61,"")</f>
        <v/>
      </c>
      <c r="E160" s="115" t="str">
        <f>IF($C$145=0,'Workings - SE Wales'!E61,"")</f>
        <v/>
      </c>
      <c r="F160" s="115" t="str">
        <f>IF($C$145=0,'Workings - SE Wales'!F61,"")</f>
        <v/>
      </c>
      <c r="G160" s="115" t="str">
        <f>IF($C$145=0,'Workings - SE Wales'!G61,"")</f>
        <v/>
      </c>
      <c r="H160" s="114"/>
      <c r="I160" s="114"/>
      <c r="J160" s="114"/>
    </row>
    <row r="161" spans="2:24" hidden="1" x14ac:dyDescent="0.2">
      <c r="B161" s="114" t="str">
        <f>IF($C$145=0,"Intermediate","")</f>
        <v/>
      </c>
      <c r="C161" s="115" t="str">
        <f>IF($C$145=0,'Workings - SE Wales'!C62,"")</f>
        <v/>
      </c>
      <c r="D161" s="115" t="str">
        <f>IF($C$145=0,'Workings - SE Wales'!D62,"")</f>
        <v/>
      </c>
      <c r="E161" s="115" t="str">
        <f>IF($C$145=0,'Workings - SE Wales'!E62,"")</f>
        <v/>
      </c>
      <c r="F161" s="115" t="str">
        <f>IF($C$145=0,'Workings - SE Wales'!F62,"")</f>
        <v/>
      </c>
      <c r="G161" s="115" t="str">
        <f>IF($C$145=0,'Workings - SE Wales'!G62,"")</f>
        <v/>
      </c>
      <c r="H161" s="114"/>
      <c r="I161" s="114"/>
      <c r="J161" s="114"/>
    </row>
    <row r="162" spans="2:24" hidden="1" x14ac:dyDescent="0.2">
      <c r="B162" s="114" t="str">
        <f>IF(C145=1,"Please complete table to view estimates split into 4 tenures.","")</f>
        <v>Please complete table to view estimates split into 4 tenures.</v>
      </c>
      <c r="C162" s="114" t="str">
        <f>IF($C$145=0,"2018/19","")</f>
        <v/>
      </c>
      <c r="D162" s="114" t="str">
        <f>IF($C$145=0,"2019/20","")</f>
        <v/>
      </c>
      <c r="E162" s="114" t="str">
        <f>IF($C$145=0,"2020/21","")</f>
        <v/>
      </c>
      <c r="F162" s="114" t="str">
        <f>IF($C$145=0,"2021/22","")</f>
        <v/>
      </c>
      <c r="G162" s="114" t="str">
        <f>IF($C$145=0,"2022/23","")</f>
        <v/>
      </c>
      <c r="H162" s="114"/>
      <c r="I162" s="393" t="str">
        <f>IF(C145=1,"","Overall 5 Year Split")</f>
        <v/>
      </c>
      <c r="J162" s="393"/>
    </row>
    <row r="163" spans="2:24" hidden="1" x14ac:dyDescent="0.2">
      <c r="B163" s="114" t="str">
        <f>IF($C$145=0,"Owner Occupier","")</f>
        <v/>
      </c>
      <c r="C163" s="116" t="str">
        <f>IF($C$145=1,"",C158/SUM(C$158:C$161))</f>
        <v/>
      </c>
      <c r="D163" s="116" t="str">
        <f t="shared" ref="D163:G163" si="9">IF($C$145=1,"",D158/SUM(D$158:D$161))</f>
        <v/>
      </c>
      <c r="E163" s="116" t="str">
        <f t="shared" si="9"/>
        <v/>
      </c>
      <c r="F163" s="116" t="str">
        <f t="shared" si="9"/>
        <v/>
      </c>
      <c r="G163" s="116" t="str">
        <f t="shared" si="9"/>
        <v/>
      </c>
      <c r="H163" s="114"/>
      <c r="I163" s="116" t="str">
        <f>IF($C$145=1,"",SUM(C158:G158)/SUM($C$158:$G$161))</f>
        <v/>
      </c>
      <c r="J163" s="114"/>
    </row>
    <row r="164" spans="2:24" hidden="1" x14ac:dyDescent="0.2">
      <c r="B164" s="114" t="str">
        <f>IF($C$145=0,"PRS","")</f>
        <v/>
      </c>
      <c r="C164" s="116" t="str">
        <f t="shared" ref="C164:G166" si="10">IF($C$145=1,"",C159/SUM(C$158:C$161))</f>
        <v/>
      </c>
      <c r="D164" s="116" t="str">
        <f t="shared" si="10"/>
        <v/>
      </c>
      <c r="E164" s="116" t="str">
        <f t="shared" si="10"/>
        <v/>
      </c>
      <c r="F164" s="116" t="str">
        <f t="shared" si="10"/>
        <v/>
      </c>
      <c r="G164" s="116" t="str">
        <f t="shared" si="10"/>
        <v/>
      </c>
      <c r="H164" s="114"/>
      <c r="I164" s="116" t="str">
        <f t="shared" ref="I164:I166" si="11">IF($C$145=1,"",SUM(C159:G159)/SUM($C$158:$G$161))</f>
        <v/>
      </c>
      <c r="J164" s="114"/>
    </row>
    <row r="165" spans="2:24" hidden="1" x14ac:dyDescent="0.2">
      <c r="B165" s="114" t="str">
        <f>IF($C$145=0,"Social","")</f>
        <v/>
      </c>
      <c r="C165" s="116" t="str">
        <f t="shared" si="10"/>
        <v/>
      </c>
      <c r="D165" s="116" t="str">
        <f t="shared" si="10"/>
        <v/>
      </c>
      <c r="E165" s="116" t="str">
        <f t="shared" si="10"/>
        <v/>
      </c>
      <c r="F165" s="116" t="str">
        <f t="shared" si="10"/>
        <v/>
      </c>
      <c r="G165" s="116" t="str">
        <f t="shared" si="10"/>
        <v/>
      </c>
      <c r="H165" s="114"/>
      <c r="I165" s="116" t="str">
        <f t="shared" si="11"/>
        <v/>
      </c>
      <c r="J165" s="114"/>
    </row>
    <row r="166" spans="2:24" hidden="1" x14ac:dyDescent="0.2">
      <c r="B166" s="114" t="str">
        <f>IF($C$145=0,"Intermediate","")</f>
        <v/>
      </c>
      <c r="C166" s="116" t="str">
        <f>IF($C$145=1,"",C161/SUM(C$158:C$161))</f>
        <v/>
      </c>
      <c r="D166" s="116" t="str">
        <f t="shared" si="10"/>
        <v/>
      </c>
      <c r="E166" s="116" t="str">
        <f t="shared" si="10"/>
        <v/>
      </c>
      <c r="F166" s="116" t="str">
        <f t="shared" si="10"/>
        <v/>
      </c>
      <c r="G166" s="116" t="str">
        <f t="shared" si="10"/>
        <v/>
      </c>
      <c r="H166" s="114"/>
      <c r="I166" s="116" t="str">
        <f t="shared" si="11"/>
        <v/>
      </c>
      <c r="J166" s="114"/>
    </row>
    <row r="167" spans="2:24" hidden="1" x14ac:dyDescent="0.2">
      <c r="C167" s="90"/>
      <c r="D167" s="90"/>
      <c r="E167" s="90"/>
      <c r="F167" s="90"/>
      <c r="G167" s="90"/>
      <c r="I167" s="90"/>
    </row>
    <row r="168" spans="2:24" hidden="1" x14ac:dyDescent="0.2">
      <c r="B168" s="74" t="s">
        <v>93</v>
      </c>
      <c r="C168" s="90"/>
      <c r="D168" s="90"/>
      <c r="E168" s="90"/>
      <c r="F168" s="90"/>
      <c r="G168" s="90"/>
      <c r="I168" s="90"/>
    </row>
    <row r="169" spans="2:24" hidden="1" x14ac:dyDescent="0.2">
      <c r="C169" s="90" t="str">
        <f>"The below figures split the estimates of housing need for "&amp;D1&amp;" into two tenures and are based on the following assumptions."</f>
        <v>The below figures split the estimates of housing need for South East Wales into two tenures and are based on the following assumptions.</v>
      </c>
      <c r="D169" s="90" t="str">
        <f>"Following on from above, the estimates for "&amp;D1&amp;" are further split into four tenures. These estimates are produced by the user and are based on the following assumptions."</f>
        <v>Following on from above, the estimates for South East Wales are further split into four tenures. These estimates are produced by the user and are based on the following assumptions.</v>
      </c>
      <c r="E169" s="90" t="s">
        <v>98</v>
      </c>
      <c r="F169" s="90" t="s">
        <v>101</v>
      </c>
      <c r="G169" s="90" t="s">
        <v>99</v>
      </c>
      <c r="H169" s="90" t="s">
        <v>127</v>
      </c>
      <c r="I169" s="90" t="s">
        <v>100</v>
      </c>
      <c r="J169" s="75" t="e">
        <f>". First time buyers have an affordability ratio of "&amp;C175&amp;" and can enter the housing market at the "&amp;C176&amp;" percentile of the house price distribution. "&amp;C177</f>
        <v>#VALUE!</v>
      </c>
    </row>
    <row r="170" spans="2:24" hidden="1" x14ac:dyDescent="0.2">
      <c r="B170" s="75" t="s">
        <v>52</v>
      </c>
      <c r="C170" s="90" t="str">
        <f>IF(D6="User Projections","user's own household projections,","Welsh Government's "&amp;D6&amp;" 2014-based household projections")</f>
        <v>Welsh Government's Principal 2014-based household projections</v>
      </c>
      <c r="D170" s="90"/>
      <c r="E170" s="90"/>
      <c r="F170" s="90"/>
      <c r="G170" s="90"/>
      <c r="I170" s="90"/>
    </row>
    <row r="171" spans="2:24" ht="15" hidden="1" customHeight="1" x14ac:dyDescent="0.2">
      <c r="B171" s="75" t="s">
        <v>23</v>
      </c>
      <c r="C171" s="91" t="str">
        <f>IF(D7="WG Estimates",'Existing Unmet Need'!C11,'Existing Unmet Need'!C20)&amp;" households in existing unmet need"</f>
        <v>3247 households in existing unmet need</v>
      </c>
      <c r="D171" s="90"/>
      <c r="E171" s="90"/>
      <c r="F171" s="90"/>
      <c r="G171" s="90"/>
      <c r="J171" s="92"/>
      <c r="K171" s="92"/>
      <c r="L171" s="92"/>
      <c r="M171" s="92"/>
      <c r="N171" s="92"/>
      <c r="O171" s="92"/>
      <c r="P171" s="92"/>
      <c r="R171" s="92"/>
      <c r="S171" s="92"/>
      <c r="T171" s="92"/>
      <c r="U171" s="92"/>
      <c r="V171" s="92"/>
      <c r="W171" s="92"/>
      <c r="X171" s="92"/>
    </row>
    <row r="172" spans="2:24" hidden="1" x14ac:dyDescent="0.2">
      <c r="B172" s="75" t="s">
        <v>53</v>
      </c>
      <c r="C172" s="90" t="str">
        <f>IF(D8="Other", " user's own estimates "," Welsh Government estimates ")</f>
        <v xml:space="preserve"> Welsh Government estimates </v>
      </c>
      <c r="D172" s="90"/>
      <c r="E172" s="90"/>
      <c r="F172" s="90"/>
      <c r="G172" s="90"/>
      <c r="I172" s="92"/>
      <c r="J172" s="92"/>
      <c r="K172" s="92"/>
      <c r="L172" s="92"/>
      <c r="M172" s="92"/>
      <c r="N172" s="92"/>
      <c r="O172" s="92"/>
      <c r="P172" s="92"/>
      <c r="R172" s="92"/>
      <c r="S172" s="92"/>
      <c r="T172" s="92"/>
      <c r="U172" s="92"/>
      <c r="V172" s="92"/>
      <c r="W172" s="92"/>
      <c r="X172" s="92"/>
    </row>
    <row r="173" spans="2:24" hidden="1" x14ac:dyDescent="0.2">
      <c r="B173" s="75" t="s">
        <v>54</v>
      </c>
      <c r="C173" s="90" t="str">
        <f>IF(D18="Other", " user's own estimates"," Land Registry data")</f>
        <v xml:space="preserve"> Land Registry data</v>
      </c>
      <c r="D173" s="90"/>
      <c r="E173" s="90"/>
      <c r="F173" s="90"/>
      <c r="G173" s="90"/>
      <c r="I173" s="92"/>
      <c r="J173" s="92"/>
      <c r="K173" s="92"/>
      <c r="L173" s="92"/>
      <c r="M173" s="92"/>
      <c r="N173" s="92"/>
      <c r="O173" s="92"/>
      <c r="P173" s="92"/>
      <c r="R173" s="92"/>
      <c r="S173" s="92"/>
      <c r="T173" s="92"/>
      <c r="U173" s="92"/>
      <c r="V173" s="92"/>
      <c r="W173" s="92"/>
      <c r="X173" s="92"/>
    </row>
    <row r="174" spans="2:24" hidden="1" x14ac:dyDescent="0.2">
      <c r="B174" s="75" t="s">
        <v>21</v>
      </c>
      <c r="C174" s="90" t="str">
        <f>IF(D9="Other", " user's own estimates"," Welsh Government data")</f>
        <v xml:space="preserve"> Welsh Government data</v>
      </c>
      <c r="D174" s="90"/>
      <c r="E174" s="90"/>
      <c r="F174" s="90"/>
      <c r="G174" s="90"/>
      <c r="I174" s="92"/>
      <c r="J174" s="92"/>
      <c r="K174" s="92"/>
      <c r="L174" s="92"/>
      <c r="M174" s="92"/>
      <c r="N174" s="92"/>
      <c r="O174" s="92"/>
      <c r="P174" s="92"/>
      <c r="R174" s="92"/>
      <c r="S174" s="92"/>
      <c r="T174" s="92"/>
      <c r="U174" s="92"/>
      <c r="V174" s="92"/>
      <c r="W174" s="92"/>
      <c r="X174" s="92"/>
    </row>
    <row r="175" spans="2:24" hidden="1" x14ac:dyDescent="0.2">
      <c r="B175" s="75" t="s">
        <v>16</v>
      </c>
      <c r="C175" s="93">
        <f>C114</f>
        <v>3.8</v>
      </c>
      <c r="D175" s="90"/>
      <c r="E175" s="90"/>
      <c r="F175" s="90"/>
      <c r="G175" s="90"/>
      <c r="I175" s="92"/>
      <c r="J175" s="92"/>
      <c r="K175" s="92"/>
      <c r="L175" s="92"/>
      <c r="M175" s="92"/>
      <c r="N175" s="92"/>
      <c r="O175" s="92"/>
      <c r="P175" s="92"/>
      <c r="R175" s="92"/>
      <c r="S175" s="92"/>
      <c r="T175" s="92"/>
      <c r="U175" s="92"/>
      <c r="V175" s="92"/>
      <c r="W175" s="92"/>
      <c r="X175" s="92"/>
    </row>
    <row r="176" spans="2:24" hidden="1" x14ac:dyDescent="0.2">
      <c r="B176" s="75" t="s">
        <v>22</v>
      </c>
      <c r="C176" s="93">
        <f>C115</f>
        <v>25</v>
      </c>
      <c r="D176" s="90"/>
      <c r="E176" s="90"/>
      <c r="F176" s="90"/>
      <c r="G176" s="90"/>
      <c r="I176" s="92"/>
      <c r="J176" s="92"/>
      <c r="K176" s="92"/>
      <c r="L176" s="92"/>
      <c r="M176" s="92"/>
      <c r="N176" s="92"/>
      <c r="O176" s="92"/>
      <c r="P176" s="92"/>
      <c r="R176" s="92"/>
      <c r="S176" s="92"/>
      <c r="T176" s="92"/>
      <c r="U176" s="92"/>
      <c r="V176" s="92"/>
      <c r="W176" s="92"/>
      <c r="X176" s="92"/>
    </row>
    <row r="177" spans="2:23" hidden="1" x14ac:dyDescent="0.2">
      <c r="B177" s="75" t="s">
        <v>17</v>
      </c>
      <c r="C177" s="90" t="e">
        <f>C116*100&amp;"% of potential first time buyers go on to buy a property. "</f>
        <v>#VALUE!</v>
      </c>
      <c r="D177" s="90"/>
      <c r="E177" s="90"/>
      <c r="F177" s="90"/>
      <c r="G177" s="90"/>
      <c r="I177" s="92"/>
      <c r="J177" s="92"/>
      <c r="K177" s="92"/>
      <c r="L177" s="92"/>
      <c r="M177" s="92"/>
      <c r="N177" s="92"/>
      <c r="O177" s="92"/>
      <c r="P177" s="92"/>
      <c r="R177" s="92"/>
      <c r="S177" s="92"/>
      <c r="T177" s="92"/>
      <c r="U177" s="92"/>
      <c r="V177" s="92"/>
      <c r="W177" s="92"/>
    </row>
    <row r="178" spans="2:23" hidden="1" x14ac:dyDescent="0.2">
      <c r="B178" s="75" t="s">
        <v>18</v>
      </c>
      <c r="C178" s="90" t="str">
        <f>"Households that spend "&amp;C108*100&amp;"% or less of household income on median private rent can afford private rent,"</f>
        <v>Households that spend 30% or less of household income on median private rent can afford private rent,</v>
      </c>
      <c r="D178" s="90"/>
      <c r="E178" s="90"/>
      <c r="F178" s="90"/>
      <c r="G178" s="90"/>
      <c r="I178" s="90"/>
    </row>
    <row r="179" spans="2:23" hidden="1" x14ac:dyDescent="0.2">
      <c r="B179" s="75" t="s">
        <v>19</v>
      </c>
      <c r="C179" s="90" t="str">
        <f>"Households that spend "&amp;C117*100&amp;"% or more of household income on 30th percentile private rent are suitable for social housing."</f>
        <v>Households that spend 35% or more of household income on 30th percentile private rent are suitable for social housing.</v>
      </c>
      <c r="D179" s="90"/>
      <c r="E179" s="90"/>
      <c r="F179" s="90"/>
      <c r="G179" s="90"/>
      <c r="I179" s="90"/>
    </row>
    <row r="180" spans="2:23" hidden="1" x14ac:dyDescent="0.2">
      <c r="B180" s="75" t="s">
        <v>55</v>
      </c>
      <c r="C180" s="90" t="str">
        <f>" which will take "&amp;'Existing Unmet Need'!C28&amp;" years to clear."</f>
        <v xml:space="preserve"> which will take 5 years to clear.</v>
      </c>
      <c r="D180" s="90"/>
      <c r="E180" s="90"/>
      <c r="F180" s="90"/>
      <c r="G180" s="90"/>
      <c r="I180" s="90"/>
    </row>
    <row r="181" spans="2:23" hidden="1" x14ac:dyDescent="0.2">
      <c r="B181" s="75" t="s">
        <v>57</v>
      </c>
      <c r="C181" s="90" t="str">
        <f>". The yearly change to median household income is based on "&amp;IF(D14="Other","users estimates","the default estimates")</f>
        <v>. The yearly change to median household income is based on the default estimates</v>
      </c>
      <c r="D181" s="90"/>
      <c r="E181" s="90"/>
      <c r="F181" s="90"/>
      <c r="G181" s="90"/>
      <c r="I181" s="90"/>
    </row>
    <row r="182" spans="2:23" hidden="1" x14ac:dyDescent="0.2">
      <c r="B182" s="75" t="s">
        <v>58</v>
      </c>
      <c r="C182" s="90" t="str">
        <f>", the yearly change to the distribution of household income is based on "&amp;IF(D15="Other","users estimates","the default estimates")</f>
        <v>, the yearly change to the distribution of household income is based on the default estimates</v>
      </c>
      <c r="D182" s="90"/>
      <c r="E182" s="90"/>
      <c r="F182" s="90"/>
      <c r="G182" s="90"/>
      <c r="I182" s="90"/>
    </row>
    <row r="183" spans="2:23" hidden="1" x14ac:dyDescent="0.2">
      <c r="B183" s="75" t="s">
        <v>59</v>
      </c>
      <c r="C183" s="90" t="str">
        <f>", the yearly change to house prices is based on "&amp;IF(D25="Other","users estimates","the default estimates")</f>
        <v>, the yearly change to house prices is based on the default estimates</v>
      </c>
      <c r="D183" s="90"/>
      <c r="E183" s="90"/>
      <c r="F183" s="90"/>
      <c r="G183" s="90"/>
      <c r="I183" s="90"/>
    </row>
    <row r="184" spans="2:23" hidden="1" x14ac:dyDescent="0.2">
      <c r="B184" s="75" t="s">
        <v>60</v>
      </c>
      <c r="C184" s="90" t="str">
        <f>" and the yearly change to rental prices is based on "&amp;IF(D16="Other","users estimates","the default estimates.")</f>
        <v xml:space="preserve"> and the yearly change to rental prices is based on the default estimates.</v>
      </c>
      <c r="D184" s="90"/>
      <c r="E184" s="90"/>
      <c r="F184" s="90"/>
      <c r="G184" s="90"/>
      <c r="I184" s="90"/>
    </row>
    <row r="185" spans="2:23" hidden="1" x14ac:dyDescent="0.2">
      <c r="C185" s="90"/>
      <c r="D185" s="90"/>
      <c r="E185" s="90"/>
      <c r="F185" s="90"/>
      <c r="G185" s="90"/>
      <c r="I185" s="90"/>
    </row>
    <row r="186" spans="2:23" hidden="1" x14ac:dyDescent="0.2">
      <c r="B186" s="74" t="s">
        <v>125</v>
      </c>
      <c r="C186" s="90"/>
      <c r="D186" s="90"/>
      <c r="E186" s="90"/>
      <c r="F186" s="90"/>
      <c r="G186" s="90"/>
      <c r="I186" s="90"/>
    </row>
    <row r="187" spans="2:23" hidden="1" x14ac:dyDescent="0.2">
      <c r="B187" s="94" t="str">
        <f>C169&amp;E169&amp;C170&amp;F169&amp;C171&amp;C180&amp;H169&amp;C172&amp;I169&amp;C174&amp;C181&amp;C182&amp;C184</f>
        <v>The below figures split the estimates of housing need for South East Wales into two tenures and are based on the following assumptions. The underlying estimates of additional housing units are based on Welsh Government's Principal 2014-based household projections, and an estimate of 3247 households in existing unmet need which will take 5 years to clear. Income data is based on Welsh Government estimates and private rental data is based on Welsh Government data. The yearly change to median household income is based on the default estimates, the yearly change to the distribution of household income is based on the default estimates and the yearly change to rental prices is based on the default estimates.</v>
      </c>
      <c r="C187" s="90"/>
      <c r="D187" s="90"/>
      <c r="E187" s="90"/>
      <c r="F187" s="90"/>
      <c r="G187" s="90"/>
      <c r="I187" s="90"/>
    </row>
    <row r="188" spans="2:23" hidden="1" x14ac:dyDescent="0.2">
      <c r="B188" s="74" t="str">
        <f>IF(C133=1,"Estimates will not appear below until the above table is complete.",B187)</f>
        <v>The below figures split the estimates of housing need for South East Wales into two tenures and are based on the following assumptions. The underlying estimates of additional housing units are based on Welsh Government's Principal 2014-based household projections, and an estimate of 3247 households in existing unmet need which will take 5 years to clear. Income data is based on Welsh Government estimates and private rental data is based on Welsh Government data. The yearly change to median household income is based on the default estimates, the yearly change to the distribution of household income is based on the default estimates and the yearly change to rental prices is based on the default estimates.</v>
      </c>
      <c r="C188" s="90"/>
      <c r="D188" s="90"/>
      <c r="E188" s="90"/>
      <c r="F188" s="90"/>
      <c r="G188" s="90"/>
      <c r="I188" s="90"/>
    </row>
    <row r="189" spans="2:23" hidden="1" x14ac:dyDescent="0.2">
      <c r="B189" s="74"/>
      <c r="C189" s="90"/>
      <c r="D189" s="90"/>
      <c r="E189" s="90"/>
      <c r="F189" s="90"/>
      <c r="G189" s="90"/>
      <c r="I189" s="90"/>
    </row>
    <row r="190" spans="2:23" hidden="1" x14ac:dyDescent="0.2">
      <c r="B190" s="74" t="s">
        <v>129</v>
      </c>
      <c r="C190" s="90"/>
      <c r="D190" s="90"/>
      <c r="E190" s="90"/>
      <c r="F190" s="90"/>
      <c r="G190" s="90"/>
      <c r="I190" s="90"/>
    </row>
    <row r="191" spans="2:23" hidden="1" x14ac:dyDescent="0.2">
      <c r="B191" s="75" t="e">
        <f>D169&amp;G169&amp;C173&amp;C183&amp;J169&amp;C179</f>
        <v>#VALUE!</v>
      </c>
      <c r="C191" s="90"/>
      <c r="D191" s="90"/>
      <c r="E191" s="90"/>
      <c r="F191" s="90"/>
      <c r="G191" s="90"/>
      <c r="I191" s="90"/>
    </row>
    <row r="192" spans="2:23" hidden="1" x14ac:dyDescent="0.2">
      <c r="B192" s="74" t="str">
        <f>IF(C145=1,"Estimates split into 4 tenures will not appear below until the above table is complete.",B191)</f>
        <v>Estimates split into 4 tenures will not appear below until the above table is complete.</v>
      </c>
      <c r="C192" s="90"/>
      <c r="D192" s="90"/>
      <c r="E192" s="90"/>
      <c r="F192" s="90"/>
      <c r="G192" s="90"/>
      <c r="I192" s="90"/>
    </row>
    <row r="193" spans="2:9" hidden="1" x14ac:dyDescent="0.2">
      <c r="C193" s="90"/>
      <c r="D193" s="90"/>
      <c r="E193" s="90"/>
      <c r="F193" s="90"/>
      <c r="G193" s="90"/>
      <c r="I193" s="90"/>
    </row>
    <row r="194" spans="2:9" hidden="1" x14ac:dyDescent="0.2">
      <c r="B194" s="75" t="s">
        <v>136</v>
      </c>
      <c r="I194" s="90"/>
    </row>
    <row r="195" spans="2:9" hidden="1" x14ac:dyDescent="0.2">
      <c r="B195" s="75" t="s">
        <v>94</v>
      </c>
      <c r="I195" s="90"/>
    </row>
    <row r="196" spans="2:9" hidden="1" x14ac:dyDescent="0.2">
      <c r="B196" s="75" t="s">
        <v>95</v>
      </c>
      <c r="I196" s="90"/>
    </row>
    <row r="197" spans="2:9" hidden="1" x14ac:dyDescent="0.2">
      <c r="B197" s="75" t="s">
        <v>96</v>
      </c>
      <c r="I197" s="90"/>
    </row>
    <row r="198" spans="2:9" hidden="1" x14ac:dyDescent="0.2">
      <c r="B198" s="77" t="str">
        <f>"'Household Projections'"</f>
        <v>'Household Projections'</v>
      </c>
      <c r="I198" s="90"/>
    </row>
    <row r="199" spans="2:9" hidden="1" x14ac:dyDescent="0.2">
      <c r="B199" s="75" t="str">
        <f>"'Existing Unmet Need'"</f>
        <v>'Existing Unmet Need'</v>
      </c>
      <c r="I199" s="90"/>
    </row>
    <row r="200" spans="2:9" hidden="1" x14ac:dyDescent="0.2">
      <c r="B200" s="75" t="str">
        <f>"'Income (SE Wales)'"</f>
        <v>'Income (SE Wales)'</v>
      </c>
      <c r="I200" s="90"/>
    </row>
    <row r="201" spans="2:9" hidden="1" x14ac:dyDescent="0.2">
      <c r="B201" s="75" t="str">
        <f>"'House Prices (SE Wales)'"</f>
        <v>'House Prices (SE Wales)'</v>
      </c>
      <c r="I201" s="90"/>
    </row>
    <row r="202" spans="2:9" hidden="1" x14ac:dyDescent="0.2">
      <c r="B202" s="75" t="str">
        <f>"'Rental Prices'"</f>
        <v>'Rental Prices'</v>
      </c>
      <c r="I202" s="90"/>
    </row>
    <row r="203" spans="2:9" hidden="1" x14ac:dyDescent="0.2">
      <c r="B203" s="75" t="str">
        <f>"'Set Yearly Assumptions'"</f>
        <v>'Set Yearly Assumptions'</v>
      </c>
      <c r="I203" s="90"/>
    </row>
    <row r="204" spans="2:9" hidden="1" x14ac:dyDescent="0.2">
      <c r="B204" s="75" t="str">
        <f>"'Future Forecasts'"</f>
        <v>'Future Forecasts'</v>
      </c>
      <c r="I204" s="90"/>
    </row>
    <row r="205" spans="2:9" x14ac:dyDescent="0.2">
      <c r="I205" s="90"/>
    </row>
    <row r="206" spans="2:9" x14ac:dyDescent="0.2">
      <c r="I206" s="90"/>
    </row>
    <row r="207" spans="2:9" x14ac:dyDescent="0.2">
      <c r="I207" s="90"/>
    </row>
  </sheetData>
  <sheetProtection sheet="1" objects="1" scenarios="1"/>
  <mergeCells count="34">
    <mergeCell ref="B1:C1"/>
    <mergeCell ref="F4:I4"/>
    <mergeCell ref="B5:B16"/>
    <mergeCell ref="F5:I5"/>
    <mergeCell ref="F6:I6"/>
    <mergeCell ref="F7:I7"/>
    <mergeCell ref="F8:I8"/>
    <mergeCell ref="F9:I9"/>
    <mergeCell ref="F11:I11"/>
    <mergeCell ref="B2:I2"/>
    <mergeCell ref="F12:I12"/>
    <mergeCell ref="F14:I14"/>
    <mergeCell ref="F15:I15"/>
    <mergeCell ref="F16:I16"/>
    <mergeCell ref="F23:I23"/>
    <mergeCell ref="F25:I25"/>
    <mergeCell ref="B28:J32"/>
    <mergeCell ref="I62:J62"/>
    <mergeCell ref="I63:J63"/>
    <mergeCell ref="B17:B25"/>
    <mergeCell ref="F17:I17"/>
    <mergeCell ref="F18:I18"/>
    <mergeCell ref="F20:I20"/>
    <mergeCell ref="F21:I21"/>
    <mergeCell ref="F22:I22"/>
    <mergeCell ref="I162:J162"/>
    <mergeCell ref="I99:J99"/>
    <mergeCell ref="I61:J61"/>
    <mergeCell ref="B52:J53"/>
    <mergeCell ref="I101:J101"/>
    <mergeCell ref="I102:J102"/>
    <mergeCell ref="I103:J103"/>
    <mergeCell ref="I104:J104"/>
    <mergeCell ref="B66:J69"/>
  </mergeCells>
  <conditionalFormatting sqref="E7:E9 E11:E12 E14:E16 E25:E27 E18 E20:E23">
    <cfRule type="expression" dxfId="5" priority="6">
      <formula>E7="Y"</formula>
    </cfRule>
  </conditionalFormatting>
  <conditionalFormatting sqref="E7:E12 E14:E16 E18 E20:E27">
    <cfRule type="expression" dxfId="4" priority="5">
      <formula>E7="N"</formula>
    </cfRule>
  </conditionalFormatting>
  <conditionalFormatting sqref="E13">
    <cfRule type="expression" dxfId="3" priority="4">
      <formula>E13="N"</formula>
    </cfRule>
  </conditionalFormatting>
  <conditionalFormatting sqref="E19">
    <cfRule type="expression" dxfId="2" priority="3">
      <formula>E19="N"</formula>
    </cfRule>
  </conditionalFormatting>
  <conditionalFormatting sqref="E6">
    <cfRule type="expression" dxfId="1" priority="2">
      <formula>E6="Y"</formula>
    </cfRule>
  </conditionalFormatting>
  <conditionalFormatting sqref="E6">
    <cfRule type="expression" dxfId="0" priority="1">
      <formula>E6="N"</formula>
    </cfRule>
  </conditionalFormatting>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sheetPr>
  <dimension ref="B1:P62"/>
  <sheetViews>
    <sheetView showGridLines="0" workbookViewId="0"/>
  </sheetViews>
  <sheetFormatPr defaultColWidth="9.140625" defaultRowHeight="15" x14ac:dyDescent="0.25"/>
  <cols>
    <col min="1" max="1" width="1.7109375" style="1" customWidth="1"/>
    <col min="2" max="2" width="49.5703125" style="1" bestFit="1" customWidth="1"/>
    <col min="3" max="7" width="11.5703125" style="1" bestFit="1" customWidth="1"/>
    <col min="8" max="8" width="9.140625" style="1"/>
    <col min="9" max="9" width="9.140625" style="13"/>
    <col min="10" max="16384" width="9.140625" style="1"/>
  </cols>
  <sheetData>
    <row r="1" spans="2:9" ht="21" x14ac:dyDescent="0.35">
      <c r="B1" s="129" t="s">
        <v>3</v>
      </c>
    </row>
    <row r="3" spans="2:9" ht="15" customHeight="1" x14ac:dyDescent="0.25">
      <c r="B3" s="397" t="s">
        <v>280</v>
      </c>
      <c r="C3" s="398"/>
      <c r="D3" s="398"/>
      <c r="E3" s="398"/>
      <c r="F3" s="398"/>
      <c r="G3" s="399"/>
      <c r="H3" s="163"/>
      <c r="I3" s="163"/>
    </row>
    <row r="4" spans="2:9" x14ac:dyDescent="0.25">
      <c r="B4" s="400"/>
      <c r="C4" s="401"/>
      <c r="D4" s="401"/>
      <c r="E4" s="401"/>
      <c r="F4" s="401"/>
      <c r="G4" s="402"/>
      <c r="H4" s="163"/>
      <c r="I4" s="163"/>
    </row>
    <row r="5" spans="2:9" x14ac:dyDescent="0.25">
      <c r="B5" s="400"/>
      <c r="C5" s="401"/>
      <c r="D5" s="401"/>
      <c r="E5" s="401"/>
      <c r="F5" s="401"/>
      <c r="G5" s="402"/>
      <c r="H5" s="163"/>
      <c r="I5" s="163"/>
    </row>
    <row r="6" spans="2:9" x14ac:dyDescent="0.25">
      <c r="B6" s="403"/>
      <c r="C6" s="404"/>
      <c r="D6" s="404"/>
      <c r="E6" s="404"/>
      <c r="F6" s="404"/>
      <c r="G6" s="405"/>
      <c r="H6" s="193"/>
      <c r="I6" s="193"/>
    </row>
    <row r="7" spans="2:9" x14ac:dyDescent="0.25">
      <c r="B7" s="193"/>
      <c r="C7" s="193"/>
      <c r="D7" s="193"/>
      <c r="E7" s="193"/>
      <c r="F7" s="193"/>
      <c r="G7" s="193"/>
      <c r="H7" s="193"/>
      <c r="I7" s="193"/>
    </row>
    <row r="8" spans="2:9" ht="18.75" x14ac:dyDescent="0.25">
      <c r="B8" s="225" t="s">
        <v>242</v>
      </c>
      <c r="C8" s="226"/>
      <c r="D8" s="226"/>
      <c r="E8" s="226"/>
      <c r="F8" s="226"/>
      <c r="G8" s="227"/>
      <c r="H8" s="193"/>
      <c r="I8" s="193"/>
    </row>
    <row r="9" spans="2:9" ht="18.75" x14ac:dyDescent="0.25">
      <c r="B9" s="268"/>
      <c r="C9" s="193">
        <v>1</v>
      </c>
      <c r="D9" s="193">
        <v>2</v>
      </c>
      <c r="E9" s="193">
        <v>3</v>
      </c>
      <c r="F9" s="193">
        <v>4</v>
      </c>
      <c r="G9" s="269">
        <v>5</v>
      </c>
      <c r="H9" s="193"/>
      <c r="I9" s="193"/>
    </row>
    <row r="10" spans="2:9" x14ac:dyDescent="0.25">
      <c r="B10" s="20"/>
      <c r="C10" s="228" t="s">
        <v>9</v>
      </c>
      <c r="D10" s="228" t="s">
        <v>10</v>
      </c>
      <c r="E10" s="228" t="s">
        <v>11</v>
      </c>
      <c r="F10" s="228" t="s">
        <v>12</v>
      </c>
      <c r="G10" s="229" t="s">
        <v>13</v>
      </c>
    </row>
    <row r="11" spans="2:9" x14ac:dyDescent="0.25">
      <c r="B11" s="20" t="s">
        <v>8</v>
      </c>
      <c r="C11" s="21">
        <f t="array" ref="C11">INDEX('Newly Arising Need'!D8:D31,MATCH(1,($B$1='Newly Arising Need'!$C$8:$C$31)*('Tenure Split (WALES)'!$D$6='Newly Arising Need'!$B$8:$B$31),0))</f>
        <v>7219</v>
      </c>
      <c r="D11" s="21">
        <f t="array" ref="D11">INDEX('Newly Arising Need'!E8:E31,MATCH(1,($B$1='Newly Arising Need'!$C$8:$C$31)*('Tenure Split (WALES)'!$D$6='Newly Arising Need'!$B$8:$B$31),0))</f>
        <v>6965</v>
      </c>
      <c r="E11" s="21">
        <f t="array" ref="E11">INDEX('Newly Arising Need'!F8:F31,MATCH(1,($B$1='Newly Arising Need'!$C$8:$C$31)*('Tenure Split (WALES)'!$D$6='Newly Arising Need'!$B$8:$B$31),0))</f>
        <v>7029</v>
      </c>
      <c r="F11" s="21">
        <f t="array" ref="F11">INDEX('Newly Arising Need'!G8:G31,MATCH(1,($B$1='Newly Arising Need'!$C$8:$C$31)*('Tenure Split (WALES)'!$D$6='Newly Arising Need'!$B$8:$B$31),0))</f>
        <v>7496</v>
      </c>
      <c r="G11" s="22">
        <f t="array" ref="G11">INDEX('Newly Arising Need'!H8:H31,MATCH(1,($B$1='Newly Arising Need'!$C$8:$C$31)*('Tenure Split (WALES)'!$D$6='Newly Arising Need'!$B$8:$B$31),0))</f>
        <v>7118</v>
      </c>
    </row>
    <row r="12" spans="2:9" x14ac:dyDescent="0.25">
      <c r="B12" s="20" t="s">
        <v>23</v>
      </c>
      <c r="C12" s="21">
        <f>IF('Existing Unmet Need'!$C$28&gt;='Workings - Wales'!C9,IF(('Tenure Split (WALES)'!$D$7="WG Estimates"),'Existing Unmet Need'!$C$12/'Existing Unmet Need'!$C$28,'Existing Unmet Need'!$C$21/'Existing Unmet Need'!$C$28),0)</f>
        <v>1129</v>
      </c>
      <c r="D12" s="21">
        <f>IF('Existing Unmet Need'!$C$28&gt;='Workings - Wales'!D9,IF(('Tenure Split (WALES)'!$D$7="WG Estimates"),'Existing Unmet Need'!$C$12/'Existing Unmet Need'!$C$28,'Existing Unmet Need'!$C$21/'Existing Unmet Need'!$C$28),0)</f>
        <v>1129</v>
      </c>
      <c r="E12" s="21">
        <f>IF('Existing Unmet Need'!$C$28&gt;='Workings - Wales'!E9,IF(('Tenure Split (WALES)'!$D$7="WG Estimates"),'Existing Unmet Need'!$C$12/'Existing Unmet Need'!$C$28,'Existing Unmet Need'!$C$21/'Existing Unmet Need'!$C$28),0)</f>
        <v>1129</v>
      </c>
      <c r="F12" s="21">
        <f>IF('Existing Unmet Need'!$C$28&gt;='Workings - Wales'!F9,IF(('Tenure Split (WALES)'!$D$7="WG Estimates"),'Existing Unmet Need'!$C$12/'Existing Unmet Need'!$C$28,'Existing Unmet Need'!$C$21/'Existing Unmet Need'!$C$28),0)</f>
        <v>1129</v>
      </c>
      <c r="G12" s="22">
        <f>IF('Existing Unmet Need'!$C$28&gt;='Workings - Wales'!G9,IF(('Tenure Split (WALES)'!$D$7="WG Estimates"),'Existing Unmet Need'!$C$12/'Existing Unmet Need'!$C$28,'Existing Unmet Need'!$C$21/'Existing Unmet Need'!$C$28),0)</f>
        <v>1129</v>
      </c>
    </row>
    <row r="13" spans="2:9" x14ac:dyDescent="0.25">
      <c r="B13" s="23" t="s">
        <v>24</v>
      </c>
      <c r="C13" s="230">
        <f>SUM(C11:C12)</f>
        <v>8348</v>
      </c>
      <c r="D13" s="230">
        <f>SUM(D11:D12)</f>
        <v>8094</v>
      </c>
      <c r="E13" s="230">
        <f>SUM(E11:E12)</f>
        <v>8158</v>
      </c>
      <c r="F13" s="230">
        <f>SUM(F11:F12)</f>
        <v>8625</v>
      </c>
      <c r="G13" s="231">
        <f>SUM(G11:G12)</f>
        <v>8247</v>
      </c>
    </row>
    <row r="14" spans="2:9" x14ac:dyDescent="0.25">
      <c r="C14" s="2"/>
      <c r="D14" s="2"/>
      <c r="E14" s="2"/>
      <c r="F14" s="2"/>
      <c r="G14" s="2"/>
    </row>
    <row r="15" spans="2:9" ht="18.75" x14ac:dyDescent="0.3">
      <c r="B15" s="214" t="s">
        <v>239</v>
      </c>
      <c r="C15" s="215"/>
      <c r="D15" s="215"/>
      <c r="E15" s="215"/>
      <c r="F15" s="215"/>
      <c r="G15" s="216"/>
    </row>
    <row r="16" spans="2:9" x14ac:dyDescent="0.25">
      <c r="B16" s="20"/>
      <c r="C16" s="12"/>
      <c r="D16" s="12"/>
      <c r="E16" s="12"/>
      <c r="F16" s="12"/>
      <c r="G16" s="195"/>
    </row>
    <row r="17" spans="2:16" x14ac:dyDescent="0.25">
      <c r="B17" s="196" t="s">
        <v>113</v>
      </c>
      <c r="C17" s="12"/>
      <c r="D17" s="12"/>
      <c r="E17" s="12"/>
      <c r="F17" s="12"/>
      <c r="G17" s="195"/>
    </row>
    <row r="18" spans="2:16" x14ac:dyDescent="0.25">
      <c r="B18" s="20" t="s">
        <v>29</v>
      </c>
      <c r="C18" s="59">
        <f>'Tenure Split (WALES)'!C112</f>
        <v>6483.116622487516</v>
      </c>
      <c r="D18" s="59">
        <f>'Tenure Split (WALES)'!D112</f>
        <v>6674.6035041100695</v>
      </c>
      <c r="E18" s="59">
        <f>'Tenure Split (WALES)'!E112</f>
        <v>6878.8525368394376</v>
      </c>
      <c r="F18" s="59">
        <f>'Tenure Split (WALES)'!F112</f>
        <v>7093.5580935881617</v>
      </c>
      <c r="G18" s="60">
        <f>'Tenure Split (WALES)'!G112</f>
        <v>7318.5405717943022</v>
      </c>
    </row>
    <row r="19" spans="2:16" x14ac:dyDescent="0.25">
      <c r="B19" s="20" t="s">
        <v>31</v>
      </c>
      <c r="C19" s="59">
        <f>C18/'Tenure Split (WALES)'!C108</f>
        <v>21610.388741625055</v>
      </c>
      <c r="D19" s="59">
        <f>D18/'Tenure Split (WALES)'!D108</f>
        <v>22248.678347033565</v>
      </c>
      <c r="E19" s="59">
        <f>E18/'Tenure Split (WALES)'!E108</f>
        <v>22929.508456131458</v>
      </c>
      <c r="F19" s="59">
        <f>F18/'Tenure Split (WALES)'!F108</f>
        <v>23645.193645293872</v>
      </c>
      <c r="G19" s="60">
        <f>G18/'Tenure Split (WALES)'!G108</f>
        <v>24395.135239314342</v>
      </c>
    </row>
    <row r="20" spans="2:16" x14ac:dyDescent="0.25">
      <c r="B20" s="20" t="s">
        <v>26</v>
      </c>
      <c r="C20" s="12">
        <f>IFERROR(INDEX('Income (Wales)'!$AB$4:$AB$84,MATCH('Workings - Wales'!C19,'Income (Wales)'!AC$4:AC$84,1)),10)</f>
        <v>38</v>
      </c>
      <c r="D20" s="12">
        <f>IFERROR(INDEX('Income (Wales)'!$AB$4:$AB$84,MATCH('Workings - Wales'!D19,'Income (Wales)'!AD$4:AD$84,1)),10)</f>
        <v>39</v>
      </c>
      <c r="E20" s="12">
        <f>IFERROR(INDEX('Income (Wales)'!$AB$4:$AB$84,MATCH('Workings - Wales'!E19,'Income (Wales)'!AE$4:AE$84,1)),10)</f>
        <v>39</v>
      </c>
      <c r="F20" s="12">
        <f>IFERROR(INDEX('Income (Wales)'!$AB$4:$AB$84,MATCH('Workings - Wales'!F19,'Income (Wales)'!AF$4:AF$84,1)),10)</f>
        <v>39</v>
      </c>
      <c r="G20" s="195">
        <f>IFERROR(INDEX('Income (Wales)'!$AB$4:$AB$84,MATCH('Workings - Wales'!G19,'Income (Wales)'!AG$4:AG$84,1)),10)</f>
        <v>38</v>
      </c>
      <c r="P20" s="13"/>
    </row>
    <row r="21" spans="2:16" x14ac:dyDescent="0.25">
      <c r="B21" s="20" t="s">
        <v>27</v>
      </c>
      <c r="C21" s="217">
        <f>(100-C20)/100</f>
        <v>0.62</v>
      </c>
      <c r="D21" s="217">
        <f t="shared" ref="D21:G21" si="0">(100-D20)/100</f>
        <v>0.61</v>
      </c>
      <c r="E21" s="217">
        <f t="shared" si="0"/>
        <v>0.61</v>
      </c>
      <c r="F21" s="217">
        <f t="shared" si="0"/>
        <v>0.61</v>
      </c>
      <c r="G21" s="218">
        <f t="shared" si="0"/>
        <v>0.62</v>
      </c>
    </row>
    <row r="22" spans="2:16" x14ac:dyDescent="0.25">
      <c r="B22" s="20" t="s">
        <v>130</v>
      </c>
      <c r="C22" s="219">
        <f>C21*C11</f>
        <v>4475.78</v>
      </c>
      <c r="D22" s="219">
        <f>D21*D11</f>
        <v>4248.6499999999996</v>
      </c>
      <c r="E22" s="219">
        <f>E21*E11</f>
        <v>4287.6899999999996</v>
      </c>
      <c r="F22" s="219">
        <f>F21*F11</f>
        <v>4572.5599999999995</v>
      </c>
      <c r="G22" s="220">
        <f>G21*G11</f>
        <v>4413.16</v>
      </c>
    </row>
    <row r="23" spans="2:16" x14ac:dyDescent="0.25">
      <c r="B23" s="20"/>
      <c r="C23" s="12"/>
      <c r="D23" s="12"/>
      <c r="E23" s="12"/>
      <c r="F23" s="12"/>
      <c r="G23" s="195"/>
    </row>
    <row r="24" spans="2:16" x14ac:dyDescent="0.25">
      <c r="B24" s="20"/>
      <c r="C24" s="219"/>
      <c r="D24" s="219"/>
      <c r="E24" s="219"/>
      <c r="F24" s="219"/>
      <c r="G24" s="220"/>
    </row>
    <row r="25" spans="2:16" x14ac:dyDescent="0.25">
      <c r="B25" s="196" t="s">
        <v>114</v>
      </c>
      <c r="C25" s="219"/>
      <c r="D25" s="219"/>
      <c r="E25" s="219"/>
      <c r="F25" s="219"/>
      <c r="G25" s="220"/>
    </row>
    <row r="26" spans="2:16" x14ac:dyDescent="0.25">
      <c r="B26" s="20" t="s">
        <v>131</v>
      </c>
      <c r="C26" s="219">
        <f>C13-C22</f>
        <v>3872.2200000000003</v>
      </c>
      <c r="D26" s="219">
        <f t="shared" ref="D26:G26" si="1">D13-D22</f>
        <v>3845.3500000000004</v>
      </c>
      <c r="E26" s="219">
        <f t="shared" si="1"/>
        <v>3870.3100000000004</v>
      </c>
      <c r="F26" s="219">
        <f t="shared" si="1"/>
        <v>4052.4400000000005</v>
      </c>
      <c r="G26" s="220">
        <f t="shared" si="1"/>
        <v>3833.84</v>
      </c>
    </row>
    <row r="27" spans="2:16" x14ac:dyDescent="0.25">
      <c r="B27" s="20"/>
      <c r="C27" s="219"/>
      <c r="D27" s="219"/>
      <c r="E27" s="219"/>
      <c r="F27" s="219"/>
      <c r="G27" s="220"/>
    </row>
    <row r="28" spans="2:16" x14ac:dyDescent="0.25">
      <c r="B28" s="196" t="s">
        <v>240</v>
      </c>
      <c r="C28" s="12"/>
      <c r="D28" s="12"/>
      <c r="E28" s="12"/>
      <c r="F28" s="12"/>
      <c r="G28" s="195"/>
    </row>
    <row r="29" spans="2:16" x14ac:dyDescent="0.25">
      <c r="B29" s="20" t="s">
        <v>113</v>
      </c>
      <c r="C29" s="21">
        <f>C22</f>
        <v>4475.78</v>
      </c>
      <c r="D29" s="21">
        <f>D22</f>
        <v>4248.6499999999996</v>
      </c>
      <c r="E29" s="21">
        <f>E22</f>
        <v>4287.6899999999996</v>
      </c>
      <c r="F29" s="21">
        <f>F22</f>
        <v>4572.5599999999995</v>
      </c>
      <c r="G29" s="22">
        <f>G22</f>
        <v>4413.16</v>
      </c>
    </row>
    <row r="30" spans="2:16" x14ac:dyDescent="0.25">
      <c r="B30" s="23" t="s">
        <v>114</v>
      </c>
      <c r="C30" s="25">
        <f>C26</f>
        <v>3872.2200000000003</v>
      </c>
      <c r="D30" s="25">
        <f>D26</f>
        <v>3845.3500000000004</v>
      </c>
      <c r="E30" s="25">
        <f>E26</f>
        <v>3870.3100000000004</v>
      </c>
      <c r="F30" s="25">
        <f>F26</f>
        <v>4052.4400000000005</v>
      </c>
      <c r="G30" s="26">
        <f>G26</f>
        <v>3833.84</v>
      </c>
    </row>
    <row r="31" spans="2:16" x14ac:dyDescent="0.25">
      <c r="C31" s="6"/>
      <c r="D31" s="6"/>
      <c r="E31" s="6"/>
      <c r="F31" s="6"/>
      <c r="G31" s="6"/>
    </row>
    <row r="32" spans="2:16" ht="18.75" x14ac:dyDescent="0.3">
      <c r="B32" s="214" t="s">
        <v>241</v>
      </c>
      <c r="C32" s="17"/>
      <c r="D32" s="17"/>
      <c r="E32" s="17"/>
      <c r="F32" s="17"/>
      <c r="G32" s="194"/>
    </row>
    <row r="33" spans="2:16" ht="21" customHeight="1" x14ac:dyDescent="0.25">
      <c r="B33" s="394" t="s">
        <v>132</v>
      </c>
      <c r="C33" s="395"/>
      <c r="D33" s="395"/>
      <c r="E33" s="395"/>
      <c r="F33" s="395"/>
      <c r="G33" s="396"/>
      <c r="H33" s="78"/>
      <c r="I33" s="78"/>
    </row>
    <row r="34" spans="2:16" x14ac:dyDescent="0.25">
      <c r="B34" s="20"/>
      <c r="C34" s="12"/>
      <c r="D34" s="12"/>
      <c r="E34" s="12"/>
      <c r="F34" s="12"/>
      <c r="G34" s="195"/>
    </row>
    <row r="35" spans="2:16" x14ac:dyDescent="0.25">
      <c r="B35" s="196" t="s">
        <v>25</v>
      </c>
      <c r="C35" s="12"/>
      <c r="D35" s="12"/>
      <c r="E35" s="12"/>
      <c r="F35" s="12"/>
      <c r="G35" s="195"/>
      <c r="P35" s="13"/>
    </row>
    <row r="36" spans="2:16" x14ac:dyDescent="0.25">
      <c r="B36" s="20" t="str">
        <f>"Percentile FTB Enter: "&amp;'Tenure Split (WALES)'!C115</f>
        <v>Percentile FTB Enter: 25</v>
      </c>
      <c r="C36" s="59">
        <f>INDEX('House Prices (Wales)'!AC$4:AC$84,MATCH('Tenure Split (WALES)'!C115,'House Prices (Wales)'!$AB$4:$AB$84,0))</f>
        <v>111067.8032116542</v>
      </c>
      <c r="D36" s="59">
        <f>INDEX('House Prices (Wales)'!AD$4:AD$84,MATCH('Tenure Split (WALES)'!D115,'House Prices (Wales)'!$AB$4:$AB$84,0))</f>
        <v>111315.10175559217</v>
      </c>
      <c r="E36" s="59">
        <f>INDEX('House Prices (Wales)'!AE$4:AE$84,MATCH('Tenure Split (WALES)'!E115,'House Prices (Wales)'!$AB$4:$AB$84,0))</f>
        <v>113711.09030868714</v>
      </c>
      <c r="F36" s="59">
        <f>INDEX('House Prices (Wales)'!AF$4:AF$84,MATCH('Tenure Split (WALES)'!F115,'House Prices (Wales)'!$AB$4:$AB$84,0))</f>
        <v>118145.7282823494</v>
      </c>
      <c r="G36" s="60">
        <f>INDEX('House Prices (Wales)'!AG$4:AG$84,MATCH('Tenure Split (WALES)'!G115,'House Prices (Wales)'!$AB$4:$AB$84,0))</f>
        <v>123046.4041008933</v>
      </c>
      <c r="P36" s="13"/>
    </row>
    <row r="37" spans="2:16" x14ac:dyDescent="0.25">
      <c r="B37" s="20" t="s">
        <v>31</v>
      </c>
      <c r="C37" s="59">
        <f>C36/'Tenure Split (WALES)'!C114</f>
        <v>29228.369266224792</v>
      </c>
      <c r="D37" s="59">
        <f>D36/'Tenure Split (WALES)'!D114</f>
        <v>29293.447830418994</v>
      </c>
      <c r="E37" s="59">
        <f>E36/'Tenure Split (WALES)'!E114</f>
        <v>29923.971133865038</v>
      </c>
      <c r="F37" s="59">
        <f>F36/'Tenure Split (WALES)'!F114</f>
        <v>31090.981126934053</v>
      </c>
      <c r="G37" s="60">
        <f>G36/'Tenure Split (WALES)'!G114</f>
        <v>32380.632658129816</v>
      </c>
      <c r="P37" s="13"/>
    </row>
    <row r="38" spans="2:16" x14ac:dyDescent="0.25">
      <c r="B38" s="20" t="s">
        <v>26</v>
      </c>
      <c r="C38" s="12">
        <f>IFERROR(INDEX('Income (Wales)'!$AB$4:$AB$84,MATCH('Workings - Wales'!C37,'Income (Wales)'!AC$4:AC$84,1)),10)</f>
        <v>54</v>
      </c>
      <c r="D38" s="12">
        <f>IFERROR(INDEX('Income (Wales)'!$AB$4:$AB$84,MATCH('Workings - Wales'!D37,'Income (Wales)'!AD$4:AD$84,1)),10)</f>
        <v>53</v>
      </c>
      <c r="E38" s="12">
        <f>IFERROR(INDEX('Income (Wales)'!$AB$4:$AB$84,MATCH('Workings - Wales'!E37,'Income (Wales)'!AE$4:AE$84,1)),10)</f>
        <v>53</v>
      </c>
      <c r="F38" s="12">
        <f>IFERROR(INDEX('Income (Wales)'!$AB$4:$AB$84,MATCH('Workings - Wales'!F37,'Income (Wales)'!AF$4:AF$84,1)),10)</f>
        <v>53</v>
      </c>
      <c r="G38" s="195">
        <f>IFERROR(INDEX('Income (Wales)'!$AB$4:$AB$84,MATCH('Workings - Wales'!G37,'Income (Wales)'!AG$4:AG$84,1)),10)</f>
        <v>53</v>
      </c>
      <c r="P38" s="13"/>
    </row>
    <row r="39" spans="2:16" x14ac:dyDescent="0.25">
      <c r="B39" s="20" t="s">
        <v>27</v>
      </c>
      <c r="C39" s="217">
        <f>(100-C38)/100</f>
        <v>0.46</v>
      </c>
      <c r="D39" s="217">
        <f t="shared" ref="D39:G39" si="2">(100-D38)/100</f>
        <v>0.47</v>
      </c>
      <c r="E39" s="217">
        <f t="shared" si="2"/>
        <v>0.47</v>
      </c>
      <c r="F39" s="217">
        <f t="shared" si="2"/>
        <v>0.47</v>
      </c>
      <c r="G39" s="218">
        <f t="shared" si="2"/>
        <v>0.47</v>
      </c>
      <c r="P39" s="13"/>
    </row>
    <row r="40" spans="2:16" x14ac:dyDescent="0.25">
      <c r="B40" s="20" t="s">
        <v>28</v>
      </c>
      <c r="C40" s="217" t="e">
        <f>C39*'Tenure Split (WALES)'!C116</f>
        <v>#VALUE!</v>
      </c>
      <c r="D40" s="217" t="e">
        <f>D39*'Tenure Split (WALES)'!D116</f>
        <v>#VALUE!</v>
      </c>
      <c r="E40" s="217" t="e">
        <f>E39*'Tenure Split (WALES)'!E116</f>
        <v>#VALUE!</v>
      </c>
      <c r="F40" s="217" t="e">
        <f>F39*'Tenure Split (WALES)'!F116</f>
        <v>#VALUE!</v>
      </c>
      <c r="G40" s="218" t="e">
        <f>G39*'Tenure Split (WALES)'!G116</f>
        <v>#VALUE!</v>
      </c>
      <c r="P40" s="13"/>
    </row>
    <row r="41" spans="2:16" x14ac:dyDescent="0.25">
      <c r="B41" s="20" t="s">
        <v>25</v>
      </c>
      <c r="C41" s="221" t="e">
        <f>C40*C11</f>
        <v>#VALUE!</v>
      </c>
      <c r="D41" s="221" t="e">
        <f>D40*D11</f>
        <v>#VALUE!</v>
      </c>
      <c r="E41" s="221" t="e">
        <f>E40*E11</f>
        <v>#VALUE!</v>
      </c>
      <c r="F41" s="221" t="e">
        <f>F40*F11</f>
        <v>#VALUE!</v>
      </c>
      <c r="G41" s="222" t="e">
        <f>G40*G11</f>
        <v>#VALUE!</v>
      </c>
      <c r="P41" s="13"/>
    </row>
    <row r="42" spans="2:16" x14ac:dyDescent="0.25">
      <c r="B42" s="20"/>
      <c r="C42" s="221"/>
      <c r="D42" s="221"/>
      <c r="E42" s="221"/>
      <c r="F42" s="221"/>
      <c r="G42" s="222"/>
      <c r="P42" s="13"/>
    </row>
    <row r="43" spans="2:16" x14ac:dyDescent="0.25">
      <c r="B43" s="196" t="s">
        <v>133</v>
      </c>
      <c r="C43" s="221"/>
      <c r="D43" s="221"/>
      <c r="E43" s="221"/>
      <c r="F43" s="221"/>
      <c r="G43" s="222"/>
      <c r="P43" s="13"/>
    </row>
    <row r="44" spans="2:16" x14ac:dyDescent="0.25">
      <c r="B44" s="223" t="s">
        <v>112</v>
      </c>
      <c r="C44" s="21" t="e">
        <f>C22-C41</f>
        <v>#VALUE!</v>
      </c>
      <c r="D44" s="21" t="e">
        <f>D22-D41</f>
        <v>#VALUE!</v>
      </c>
      <c r="E44" s="21" t="e">
        <f>E22-E41</f>
        <v>#VALUE!</v>
      </c>
      <c r="F44" s="21" t="e">
        <f>F22-F41</f>
        <v>#VALUE!</v>
      </c>
      <c r="G44" s="22" t="e">
        <f>G22-G41</f>
        <v>#VALUE!</v>
      </c>
      <c r="P44" s="13"/>
    </row>
    <row r="45" spans="2:16" x14ac:dyDescent="0.25">
      <c r="B45" s="20"/>
      <c r="C45" s="21"/>
      <c r="D45" s="21"/>
      <c r="E45" s="21"/>
      <c r="F45" s="21"/>
      <c r="G45" s="22"/>
    </row>
    <row r="46" spans="2:16" x14ac:dyDescent="0.25">
      <c r="B46" s="196" t="s">
        <v>32</v>
      </c>
      <c r="C46" s="12"/>
      <c r="D46" s="12"/>
      <c r="E46" s="12"/>
      <c r="F46" s="12"/>
      <c r="G46" s="195"/>
    </row>
    <row r="47" spans="2:16" x14ac:dyDescent="0.25">
      <c r="B47" s="20" t="s">
        <v>30</v>
      </c>
      <c r="C47" s="59">
        <f>'Tenure Split (WALES)'!C113</f>
        <v>5865.6769441553715</v>
      </c>
      <c r="D47" s="59">
        <f>'Tenure Split (WALES)'!D113</f>
        <v>6038.9269799091098</v>
      </c>
      <c r="E47" s="59">
        <f>'Tenure Split (WALES)'!E113</f>
        <v>6223.7237238071093</v>
      </c>
      <c r="F47" s="59">
        <f>'Tenure Split (WALES)'!F113</f>
        <v>6417.9811322940495</v>
      </c>
      <c r="G47" s="60">
        <f>'Tenure Split (WALES)'!G113</f>
        <v>6621.5367078138906</v>
      </c>
    </row>
    <row r="48" spans="2:16" x14ac:dyDescent="0.25">
      <c r="B48" s="20" t="s">
        <v>33</v>
      </c>
      <c r="C48" s="59">
        <f>C47/'Tenure Split (WALES)'!C117</f>
        <v>16759.076983301064</v>
      </c>
      <c r="D48" s="59">
        <f>D47/'Tenure Split (WALES)'!D117</f>
        <v>17254.077085454599</v>
      </c>
      <c r="E48" s="59">
        <f>E47/'Tenure Split (WALES)'!E117</f>
        <v>17782.067782306029</v>
      </c>
      <c r="F48" s="59">
        <f>F47/'Tenure Split (WALES)'!F117</f>
        <v>18337.088949411573</v>
      </c>
      <c r="G48" s="60">
        <f>G47/'Tenure Split (WALES)'!G117</f>
        <v>18918.676308039689</v>
      </c>
    </row>
    <row r="49" spans="2:7" x14ac:dyDescent="0.25">
      <c r="B49" s="20" t="s">
        <v>26</v>
      </c>
      <c r="C49" s="12">
        <f>IFERROR(INDEX('Income (Wales)'!$AB$4:$AB$84,MATCH('Workings - Wales'!C48,'Income (Wales)'!AC$4:AC$84,1)),10)</f>
        <v>26</v>
      </c>
      <c r="D49" s="12">
        <f>IFERROR(INDEX('Income (Wales)'!$AB$4:$AB$84,MATCH('Workings - Wales'!D48,'Income (Wales)'!AD$4:AD$84,1)),10)</f>
        <v>27</v>
      </c>
      <c r="E49" s="12">
        <f>IFERROR(INDEX('Income (Wales)'!$AB$4:$AB$84,MATCH('Workings - Wales'!E48,'Income (Wales)'!AE$4:AE$84,1)),10)</f>
        <v>27</v>
      </c>
      <c r="F49" s="12">
        <f>IFERROR(INDEX('Income (Wales)'!$AB$4:$AB$84,MATCH('Workings - Wales'!F48,'Income (Wales)'!AF$4:AF$84,1)),10)</f>
        <v>27</v>
      </c>
      <c r="G49" s="195">
        <f>IFERROR(INDEX('Income (Wales)'!$AB$4:$AB$84,MATCH('Workings - Wales'!G48,'Income (Wales)'!AG$4:AG$84,1)),10)</f>
        <v>28</v>
      </c>
    </row>
    <row r="50" spans="2:7" x14ac:dyDescent="0.25">
      <c r="B50" s="20" t="s">
        <v>34</v>
      </c>
      <c r="C50" s="217">
        <f>C49/100</f>
        <v>0.26</v>
      </c>
      <c r="D50" s="217">
        <f t="shared" ref="D50:G50" si="3">D49/100</f>
        <v>0.27</v>
      </c>
      <c r="E50" s="217">
        <f t="shared" si="3"/>
        <v>0.27</v>
      </c>
      <c r="F50" s="217">
        <f t="shared" si="3"/>
        <v>0.27</v>
      </c>
      <c r="G50" s="218">
        <f t="shared" si="3"/>
        <v>0.28000000000000003</v>
      </c>
    </row>
    <row r="51" spans="2:7" x14ac:dyDescent="0.25">
      <c r="B51" s="20" t="s">
        <v>35</v>
      </c>
      <c r="C51" s="221">
        <f>C50*C11</f>
        <v>1876.94</v>
      </c>
      <c r="D51" s="221">
        <f>D50*D11</f>
        <v>1880.5500000000002</v>
      </c>
      <c r="E51" s="221">
        <f>E50*E11</f>
        <v>1897.8300000000002</v>
      </c>
      <c r="F51" s="221">
        <f>F50*F11</f>
        <v>2023.92</v>
      </c>
      <c r="G51" s="222">
        <f>G50*G11</f>
        <v>1993.0400000000002</v>
      </c>
    </row>
    <row r="52" spans="2:7" x14ac:dyDescent="0.25">
      <c r="B52" s="20" t="s">
        <v>36</v>
      </c>
      <c r="C52" s="221">
        <f>C12</f>
        <v>1129</v>
      </c>
      <c r="D52" s="221">
        <f>D12</f>
        <v>1129</v>
      </c>
      <c r="E52" s="221">
        <f>E12</f>
        <v>1129</v>
      </c>
      <c r="F52" s="221">
        <f>F12</f>
        <v>1129</v>
      </c>
      <c r="G52" s="222">
        <f>G12</f>
        <v>1129</v>
      </c>
    </row>
    <row r="53" spans="2:7" x14ac:dyDescent="0.25">
      <c r="B53" s="20" t="s">
        <v>37</v>
      </c>
      <c r="C53" s="221">
        <f>C52+C51</f>
        <v>3005.94</v>
      </c>
      <c r="D53" s="221">
        <f t="shared" ref="D53:G53" si="4">D52+D51</f>
        <v>3009.55</v>
      </c>
      <c r="E53" s="221">
        <f t="shared" si="4"/>
        <v>3026.83</v>
      </c>
      <c r="F53" s="221">
        <f t="shared" si="4"/>
        <v>3152.92</v>
      </c>
      <c r="G53" s="222">
        <f t="shared" si="4"/>
        <v>3122.04</v>
      </c>
    </row>
    <row r="54" spans="2:7" x14ac:dyDescent="0.25">
      <c r="B54" s="20"/>
      <c r="C54" s="12"/>
      <c r="D54" s="12"/>
      <c r="E54" s="12"/>
      <c r="F54" s="12"/>
      <c r="G54" s="195"/>
    </row>
    <row r="55" spans="2:7" x14ac:dyDescent="0.25">
      <c r="B55" s="196" t="s">
        <v>38</v>
      </c>
      <c r="C55" s="12"/>
      <c r="D55" s="12"/>
      <c r="E55" s="12"/>
      <c r="F55" s="12"/>
      <c r="G55" s="195"/>
    </row>
    <row r="56" spans="2:7" x14ac:dyDescent="0.25">
      <c r="B56" s="224" t="s">
        <v>39</v>
      </c>
      <c r="C56" s="221" t="e">
        <f>C11-C41-C44-C51</f>
        <v>#VALUE!</v>
      </c>
      <c r="D56" s="221" t="e">
        <f>D11-D41-D44-D51</f>
        <v>#VALUE!</v>
      </c>
      <c r="E56" s="221" t="e">
        <f>E11-E41-E44-E51</f>
        <v>#VALUE!</v>
      </c>
      <c r="F56" s="221" t="e">
        <f>F11-F41-F44-F51</f>
        <v>#VALUE!</v>
      </c>
      <c r="G56" s="222" t="e">
        <f>G11-G41-G44-G51</f>
        <v>#VALUE!</v>
      </c>
    </row>
    <row r="57" spans="2:7" x14ac:dyDescent="0.25">
      <c r="B57" s="20"/>
      <c r="C57" s="12"/>
      <c r="D57" s="12"/>
      <c r="E57" s="12"/>
      <c r="F57" s="12"/>
      <c r="G57" s="195"/>
    </row>
    <row r="58" spans="2:7" x14ac:dyDescent="0.25">
      <c r="B58" s="196" t="s">
        <v>240</v>
      </c>
      <c r="C58" s="12"/>
      <c r="D58" s="12"/>
      <c r="E58" s="12"/>
      <c r="F58" s="12"/>
      <c r="G58" s="195"/>
    </row>
    <row r="59" spans="2:7" x14ac:dyDescent="0.25">
      <c r="B59" s="20" t="s">
        <v>25</v>
      </c>
      <c r="C59" s="21" t="e">
        <f>C41</f>
        <v>#VALUE!</v>
      </c>
      <c r="D59" s="21" t="e">
        <f>D41</f>
        <v>#VALUE!</v>
      </c>
      <c r="E59" s="21" t="e">
        <f>E41</f>
        <v>#VALUE!</v>
      </c>
      <c r="F59" s="21" t="e">
        <f>F41</f>
        <v>#VALUE!</v>
      </c>
      <c r="G59" s="22" t="e">
        <f>G41</f>
        <v>#VALUE!</v>
      </c>
    </row>
    <row r="60" spans="2:7" x14ac:dyDescent="0.25">
      <c r="B60" s="20" t="s">
        <v>40</v>
      </c>
      <c r="C60" s="21" t="e">
        <f>C44</f>
        <v>#VALUE!</v>
      </c>
      <c r="D60" s="21" t="e">
        <f>D44</f>
        <v>#VALUE!</v>
      </c>
      <c r="E60" s="21" t="e">
        <f>E44</f>
        <v>#VALUE!</v>
      </c>
      <c r="F60" s="21" t="e">
        <f>F44</f>
        <v>#VALUE!</v>
      </c>
      <c r="G60" s="22" t="e">
        <f>G44</f>
        <v>#VALUE!</v>
      </c>
    </row>
    <row r="61" spans="2:7" x14ac:dyDescent="0.25">
      <c r="B61" s="20" t="s">
        <v>32</v>
      </c>
      <c r="C61" s="21">
        <f>C53</f>
        <v>3005.94</v>
      </c>
      <c r="D61" s="21">
        <f>D53</f>
        <v>3009.55</v>
      </c>
      <c r="E61" s="21">
        <f>E53</f>
        <v>3026.83</v>
      </c>
      <c r="F61" s="21">
        <f>F53</f>
        <v>3152.92</v>
      </c>
      <c r="G61" s="22">
        <f>G53</f>
        <v>3122.04</v>
      </c>
    </row>
    <row r="62" spans="2:7" x14ac:dyDescent="0.25">
      <c r="B62" s="23" t="s">
        <v>38</v>
      </c>
      <c r="C62" s="25" t="e">
        <f>C56</f>
        <v>#VALUE!</v>
      </c>
      <c r="D62" s="25" t="e">
        <f>D56</f>
        <v>#VALUE!</v>
      </c>
      <c r="E62" s="25" t="e">
        <f>E56</f>
        <v>#VALUE!</v>
      </c>
      <c r="F62" s="25" t="e">
        <f>F56</f>
        <v>#VALUE!</v>
      </c>
      <c r="G62" s="26" t="e">
        <f>G56</f>
        <v>#VALUE!</v>
      </c>
    </row>
  </sheetData>
  <sheetProtection sheet="1" objects="1" scenarios="1"/>
  <mergeCells count="2">
    <mergeCell ref="B33:G33"/>
    <mergeCell ref="B3:G6"/>
  </mergeCell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P62"/>
  <sheetViews>
    <sheetView showGridLines="0" workbookViewId="0"/>
  </sheetViews>
  <sheetFormatPr defaultColWidth="9.140625" defaultRowHeight="15" x14ac:dyDescent="0.25"/>
  <cols>
    <col min="1" max="1" width="1.7109375" style="1" customWidth="1"/>
    <col min="2" max="2" width="49.5703125" style="1" bestFit="1" customWidth="1"/>
    <col min="3" max="7" width="11.5703125" style="1" bestFit="1" customWidth="1"/>
    <col min="8" max="8" width="9.140625" style="1"/>
    <col min="9" max="9" width="9.140625" style="13"/>
    <col min="10" max="16384" width="9.140625" style="1"/>
  </cols>
  <sheetData>
    <row r="1" spans="2:7" ht="21" x14ac:dyDescent="0.35">
      <c r="B1" s="129" t="s">
        <v>0</v>
      </c>
    </row>
    <row r="2" spans="2:7" ht="14.25" customHeight="1" x14ac:dyDescent="0.35">
      <c r="B2" s="129"/>
    </row>
    <row r="3" spans="2:7" ht="15" customHeight="1" x14ac:dyDescent="0.25">
      <c r="B3" s="397" t="s">
        <v>280</v>
      </c>
      <c r="C3" s="398"/>
      <c r="D3" s="398"/>
      <c r="E3" s="398"/>
      <c r="F3" s="398"/>
      <c r="G3" s="399"/>
    </row>
    <row r="4" spans="2:7" x14ac:dyDescent="0.25">
      <c r="B4" s="400"/>
      <c r="C4" s="401"/>
      <c r="D4" s="401"/>
      <c r="E4" s="401"/>
      <c r="F4" s="401"/>
      <c r="G4" s="402"/>
    </row>
    <row r="5" spans="2:7" x14ac:dyDescent="0.25">
      <c r="B5" s="400"/>
      <c r="C5" s="401"/>
      <c r="D5" s="401"/>
      <c r="E5" s="401"/>
      <c r="F5" s="401"/>
      <c r="G5" s="402"/>
    </row>
    <row r="6" spans="2:7" x14ac:dyDescent="0.25">
      <c r="B6" s="403"/>
      <c r="C6" s="404"/>
      <c r="D6" s="404"/>
      <c r="E6" s="404"/>
      <c r="F6" s="404"/>
      <c r="G6" s="405"/>
    </row>
    <row r="7" spans="2:7" ht="14.25" customHeight="1" x14ac:dyDescent="0.35">
      <c r="B7" s="129"/>
    </row>
    <row r="8" spans="2:7" ht="18.75" x14ac:dyDescent="0.3">
      <c r="B8" s="214" t="s">
        <v>242</v>
      </c>
      <c r="C8" s="17"/>
      <c r="D8" s="17"/>
      <c r="E8" s="17"/>
      <c r="F8" s="17"/>
      <c r="G8" s="194"/>
    </row>
    <row r="9" spans="2:7" ht="18.75" x14ac:dyDescent="0.3">
      <c r="B9" s="270"/>
      <c r="C9" s="12">
        <v>1</v>
      </c>
      <c r="D9" s="12">
        <v>2</v>
      </c>
      <c r="E9" s="12">
        <v>3</v>
      </c>
      <c r="F9" s="37">
        <v>4</v>
      </c>
      <c r="G9" s="195">
        <v>5</v>
      </c>
    </row>
    <row r="10" spans="2:7" x14ac:dyDescent="0.25">
      <c r="B10" s="20"/>
      <c r="C10" s="228" t="s">
        <v>9</v>
      </c>
      <c r="D10" s="228" t="s">
        <v>10</v>
      </c>
      <c r="E10" s="228" t="s">
        <v>11</v>
      </c>
      <c r="F10" s="228" t="s">
        <v>12</v>
      </c>
      <c r="G10" s="229" t="s">
        <v>13</v>
      </c>
    </row>
    <row r="11" spans="2:7" x14ac:dyDescent="0.25">
      <c r="B11" s="20" t="s">
        <v>8</v>
      </c>
      <c r="C11" s="21">
        <f t="array" ref="C11">INDEX('Newly Arising Need'!D8:D31,MATCH(1,($B$1='Newly Arising Need'!$C$8:$C$31)*('Tenure Split (WALES)'!$D$6='Newly Arising Need'!$B$8:$B$31),0))</f>
        <v>1381</v>
      </c>
      <c r="D11" s="21">
        <f t="array" ref="D11">INDEX('Newly Arising Need'!E8:E31,MATCH(1,($B$1='Newly Arising Need'!$C$8:$C$31)*('Tenure Split (WALES)'!$D$6='Newly Arising Need'!$B$8:$B$31),0))</f>
        <v>1307</v>
      </c>
      <c r="E11" s="21">
        <f t="array" ref="E11">INDEX('Newly Arising Need'!F8:F31,MATCH(1,($B$1='Newly Arising Need'!$C$8:$C$31)*('Tenure Split (WALES)'!$D$6='Newly Arising Need'!$B$8:$B$31),0))</f>
        <v>1300</v>
      </c>
      <c r="F11" s="21">
        <f t="array" ref="F11">INDEX('Newly Arising Need'!G8:G31,MATCH(1,($B$1='Newly Arising Need'!$C$8:$C$31)*('Tenure Split (WALES)'!$D$6='Newly Arising Need'!$B$8:$B$31),0))</f>
        <v>1384</v>
      </c>
      <c r="G11" s="22">
        <f t="array" ref="G11">INDEX('Newly Arising Need'!H8:H31,MATCH(1,($B$1='Newly Arising Need'!$C$8:$C$31)*('Tenure Split (WALES)'!$D$6='Newly Arising Need'!$B$8:$B$31),0))</f>
        <v>1307</v>
      </c>
    </row>
    <row r="12" spans="2:7" x14ac:dyDescent="0.25">
      <c r="B12" s="20" t="s">
        <v>23</v>
      </c>
      <c r="C12" s="21">
        <f>IF('Existing Unmet Need'!$C$28&gt;='Workings - North Wales'!C9,IF('Tenure Split (WALES)'!$D$7="WG Estimates",'Existing Unmet Need'!$C$9/'Existing Unmet Need'!$C$28,'Existing Unmet Need'!$C$18/'Existing Unmet Need'!$C$28),0)</f>
        <v>248.4</v>
      </c>
      <c r="D12" s="21">
        <f>IF('Existing Unmet Need'!$C$28&gt;='Workings - North Wales'!D9,IF('Tenure Split (WALES)'!$D$7="WG Estimates",'Existing Unmet Need'!$C$9/'Existing Unmet Need'!$C$28,'Existing Unmet Need'!$C$18/'Existing Unmet Need'!$C$28),0)</f>
        <v>248.4</v>
      </c>
      <c r="E12" s="21">
        <f>IF('Existing Unmet Need'!$C$28&gt;='Workings - North Wales'!E9,IF('Tenure Split (WALES)'!$D$7="WG Estimates",'Existing Unmet Need'!$C$9/'Existing Unmet Need'!$C$28,'Existing Unmet Need'!$C$18/'Existing Unmet Need'!$C$28),0)</f>
        <v>248.4</v>
      </c>
      <c r="F12" s="21">
        <f>IF('Existing Unmet Need'!$C$28&gt;='Workings - North Wales'!F9,IF('Tenure Split (WALES)'!$D$7="WG Estimates",'Existing Unmet Need'!$C$9/'Existing Unmet Need'!$C$28,'Existing Unmet Need'!$C$18/'Existing Unmet Need'!$C$28),0)</f>
        <v>248.4</v>
      </c>
      <c r="G12" s="22">
        <f>IF('Existing Unmet Need'!$C$28&gt;='Workings - North Wales'!G9,IF('Tenure Split (WALES)'!$D$7="WG Estimates",'Existing Unmet Need'!$C$9/'Existing Unmet Need'!$C$28,'Existing Unmet Need'!$C$18/'Existing Unmet Need'!$C$28),0)</f>
        <v>248.4</v>
      </c>
    </row>
    <row r="13" spans="2:7" x14ac:dyDescent="0.25">
      <c r="B13" s="23" t="s">
        <v>24</v>
      </c>
      <c r="C13" s="230">
        <f>SUM(C11:C12)</f>
        <v>1629.4</v>
      </c>
      <c r="D13" s="230">
        <f t="shared" ref="D13:G13" si="0">SUM(D11:D12)</f>
        <v>1555.4</v>
      </c>
      <c r="E13" s="230">
        <f t="shared" si="0"/>
        <v>1548.4</v>
      </c>
      <c r="F13" s="230">
        <f t="shared" si="0"/>
        <v>1632.4</v>
      </c>
      <c r="G13" s="231">
        <f t="shared" si="0"/>
        <v>1555.4</v>
      </c>
    </row>
    <row r="14" spans="2:7" x14ac:dyDescent="0.25">
      <c r="C14" s="2"/>
      <c r="D14" s="2"/>
      <c r="E14" s="2"/>
      <c r="F14" s="2"/>
      <c r="G14" s="2"/>
    </row>
    <row r="15" spans="2:7" ht="18.75" x14ac:dyDescent="0.3">
      <c r="B15" s="214" t="s">
        <v>239</v>
      </c>
      <c r="C15" s="232"/>
      <c r="D15" s="215"/>
      <c r="E15" s="215"/>
      <c r="F15" s="215"/>
      <c r="G15" s="216"/>
    </row>
    <row r="16" spans="2:7" x14ac:dyDescent="0.25">
      <c r="B16" s="20"/>
      <c r="C16" s="12"/>
      <c r="D16" s="12"/>
      <c r="E16" s="12"/>
      <c r="F16" s="12"/>
      <c r="G16" s="195"/>
    </row>
    <row r="17" spans="2:16" x14ac:dyDescent="0.25">
      <c r="B17" s="196" t="s">
        <v>113</v>
      </c>
      <c r="C17" s="12"/>
      <c r="D17" s="12"/>
      <c r="E17" s="12"/>
      <c r="F17" s="12"/>
      <c r="G17" s="195"/>
    </row>
    <row r="18" spans="2:16" x14ac:dyDescent="0.25">
      <c r="B18" s="20" t="s">
        <v>29</v>
      </c>
      <c r="C18" s="59">
        <f>'Tenure Split (North Wales)'!C112</f>
        <v>6791.8364616535882</v>
      </c>
      <c r="D18" s="59">
        <f>'Tenure Split (North Wales)'!D112</f>
        <v>6992.4417662105488</v>
      </c>
      <c r="E18" s="59">
        <f>'Tenure Split (North Wales)'!E112</f>
        <v>7206.4169433556008</v>
      </c>
      <c r="F18" s="59">
        <f>'Tenure Split (North Wales)'!F112</f>
        <v>7431.3465742352164</v>
      </c>
      <c r="G18" s="60">
        <f>'Tenure Split (North Wales)'!G112</f>
        <v>7667.0425037845062</v>
      </c>
    </row>
    <row r="19" spans="2:16" x14ac:dyDescent="0.25">
      <c r="B19" s="20" t="s">
        <v>31</v>
      </c>
      <c r="C19" s="59">
        <f>C18/'Tenure Split (North Wales)'!C108</f>
        <v>22639.454872178627</v>
      </c>
      <c r="D19" s="59">
        <f>D18/'Tenure Split (North Wales)'!D108</f>
        <v>23308.139220701829</v>
      </c>
      <c r="E19" s="59">
        <f>E18/'Tenure Split (North Wales)'!E108</f>
        <v>24021.389811185338</v>
      </c>
      <c r="F19" s="59">
        <f>F18/'Tenure Split (North Wales)'!F108</f>
        <v>24771.155247450723</v>
      </c>
      <c r="G19" s="60">
        <f>G18/'Tenure Split (North Wales)'!G108</f>
        <v>25556.808345948353</v>
      </c>
    </row>
    <row r="20" spans="2:16" x14ac:dyDescent="0.25">
      <c r="B20" s="20" t="s">
        <v>26</v>
      </c>
      <c r="C20" s="12">
        <f>IFERROR(INDEX('Income (North Wales)'!$AB$4:$AB$84,MATCH('Workings - North Wales'!C19,'Income (North Wales)'!AC$4:AC$84,1)),10)</f>
        <v>41</v>
      </c>
      <c r="D20" s="12">
        <f>IFERROR(INDEX('Income (North Wales)'!$AB$4:$AB$84,MATCH('Workings - North Wales'!D19,'Income (North Wales)'!AD$4:AD$84,1)),10)</f>
        <v>42</v>
      </c>
      <c r="E20" s="12">
        <f>IFERROR(INDEX('Income (North Wales)'!$AB$4:$AB$84,MATCH('Workings - North Wales'!E19,'Income (North Wales)'!AE$4:AE$84,1)),10)</f>
        <v>42</v>
      </c>
      <c r="F20" s="12">
        <f>IFERROR(INDEX('Income (North Wales)'!$AB$4:$AB$84,MATCH('Workings - North Wales'!F19,'Income (North Wales)'!AF$4:AF$84,1)),10)</f>
        <v>41</v>
      </c>
      <c r="G20" s="195">
        <f>IFERROR(INDEX('Income (North Wales)'!$AB$4:$AB$84,MATCH('Workings - North Wales'!G19,'Income (North Wales)'!AG$4:AG$84,1)),10)</f>
        <v>41</v>
      </c>
      <c r="P20" s="13"/>
    </row>
    <row r="21" spans="2:16" x14ac:dyDescent="0.25">
      <c r="B21" s="20" t="s">
        <v>27</v>
      </c>
      <c r="C21" s="217">
        <f>(100-C20)/100</f>
        <v>0.59</v>
      </c>
      <c r="D21" s="217">
        <f t="shared" ref="D21:G21" si="1">(100-D20)/100</f>
        <v>0.57999999999999996</v>
      </c>
      <c r="E21" s="217">
        <f t="shared" si="1"/>
        <v>0.57999999999999996</v>
      </c>
      <c r="F21" s="217">
        <f t="shared" si="1"/>
        <v>0.59</v>
      </c>
      <c r="G21" s="218">
        <f t="shared" si="1"/>
        <v>0.59</v>
      </c>
    </row>
    <row r="22" spans="2:16" x14ac:dyDescent="0.25">
      <c r="B22" s="20" t="s">
        <v>130</v>
      </c>
      <c r="C22" s="219">
        <f>C21*C11</f>
        <v>814.79</v>
      </c>
      <c r="D22" s="219">
        <f>D21*D11</f>
        <v>758.06</v>
      </c>
      <c r="E22" s="219">
        <f>E21*E11</f>
        <v>754</v>
      </c>
      <c r="F22" s="219">
        <f>F21*F11</f>
        <v>816.56</v>
      </c>
      <c r="G22" s="220">
        <f>G21*G11</f>
        <v>771.13</v>
      </c>
    </row>
    <row r="23" spans="2:16" x14ac:dyDescent="0.25">
      <c r="B23" s="20"/>
      <c r="C23" s="12"/>
      <c r="D23" s="12"/>
      <c r="E23" s="12"/>
      <c r="F23" s="12"/>
      <c r="G23" s="195"/>
    </row>
    <row r="24" spans="2:16" x14ac:dyDescent="0.25">
      <c r="B24" s="20"/>
      <c r="C24" s="219"/>
      <c r="D24" s="219"/>
      <c r="E24" s="219"/>
      <c r="F24" s="219"/>
      <c r="G24" s="220"/>
    </row>
    <row r="25" spans="2:16" x14ac:dyDescent="0.25">
      <c r="B25" s="196" t="s">
        <v>114</v>
      </c>
      <c r="C25" s="219"/>
      <c r="D25" s="219"/>
      <c r="E25" s="219"/>
      <c r="F25" s="219"/>
      <c r="G25" s="220"/>
    </row>
    <row r="26" spans="2:16" x14ac:dyDescent="0.25">
      <c r="B26" s="20" t="s">
        <v>131</v>
      </c>
      <c r="C26" s="219">
        <f>C13-C22</f>
        <v>814.61000000000013</v>
      </c>
      <c r="D26" s="219">
        <f>D13-D22</f>
        <v>797.34000000000015</v>
      </c>
      <c r="E26" s="219">
        <f t="shared" ref="E26:G26" si="2">E13-E22</f>
        <v>794.40000000000009</v>
      </c>
      <c r="F26" s="219">
        <f t="shared" si="2"/>
        <v>815.84000000000015</v>
      </c>
      <c r="G26" s="220">
        <f t="shared" si="2"/>
        <v>784.2700000000001</v>
      </c>
    </row>
    <row r="27" spans="2:16" x14ac:dyDescent="0.25">
      <c r="B27" s="20"/>
      <c r="C27" s="219"/>
      <c r="D27" s="219"/>
      <c r="E27" s="219"/>
      <c r="F27" s="219"/>
      <c r="G27" s="220"/>
    </row>
    <row r="28" spans="2:16" x14ac:dyDescent="0.25">
      <c r="B28" s="196" t="s">
        <v>240</v>
      </c>
      <c r="C28" s="12"/>
      <c r="D28" s="12"/>
      <c r="E28" s="12"/>
      <c r="F28" s="12"/>
      <c r="G28" s="195"/>
    </row>
    <row r="29" spans="2:16" x14ac:dyDescent="0.25">
      <c r="B29" s="20" t="s">
        <v>113</v>
      </c>
      <c r="C29" s="21">
        <f>C22</f>
        <v>814.79</v>
      </c>
      <c r="D29" s="21">
        <f>D22</f>
        <v>758.06</v>
      </c>
      <c r="E29" s="21">
        <f>E22</f>
        <v>754</v>
      </c>
      <c r="F29" s="21">
        <f>F22</f>
        <v>816.56</v>
      </c>
      <c r="G29" s="22">
        <f>G22</f>
        <v>771.13</v>
      </c>
    </row>
    <row r="30" spans="2:16" x14ac:dyDescent="0.25">
      <c r="B30" s="23" t="s">
        <v>114</v>
      </c>
      <c r="C30" s="25">
        <f>C26</f>
        <v>814.61000000000013</v>
      </c>
      <c r="D30" s="25">
        <f>D26</f>
        <v>797.34000000000015</v>
      </c>
      <c r="E30" s="25">
        <f>E26</f>
        <v>794.40000000000009</v>
      </c>
      <c r="F30" s="25">
        <f>F26</f>
        <v>815.84000000000015</v>
      </c>
      <c r="G30" s="26">
        <f>G26</f>
        <v>784.2700000000001</v>
      </c>
    </row>
    <row r="31" spans="2:16" x14ac:dyDescent="0.25">
      <c r="C31" s="6"/>
      <c r="D31" s="6"/>
      <c r="E31" s="6"/>
      <c r="F31" s="6"/>
      <c r="G31" s="6"/>
    </row>
    <row r="32" spans="2:16" ht="18.75" x14ac:dyDescent="0.3">
      <c r="B32" s="214" t="s">
        <v>241</v>
      </c>
      <c r="C32" s="17"/>
      <c r="D32" s="17"/>
      <c r="E32" s="17"/>
      <c r="F32" s="17"/>
      <c r="G32" s="194"/>
    </row>
    <row r="33" spans="2:16" ht="21" customHeight="1" x14ac:dyDescent="0.25">
      <c r="B33" s="394" t="s">
        <v>132</v>
      </c>
      <c r="C33" s="395"/>
      <c r="D33" s="395"/>
      <c r="E33" s="395"/>
      <c r="F33" s="395"/>
      <c r="G33" s="396"/>
    </row>
    <row r="34" spans="2:16" x14ac:dyDescent="0.25">
      <c r="B34" s="20"/>
      <c r="C34" s="12"/>
      <c r="D34" s="12"/>
      <c r="E34" s="12"/>
      <c r="F34" s="12"/>
      <c r="G34" s="195"/>
    </row>
    <row r="35" spans="2:16" x14ac:dyDescent="0.25">
      <c r="B35" s="196" t="s">
        <v>25</v>
      </c>
      <c r="C35" s="12"/>
      <c r="D35" s="12"/>
      <c r="E35" s="12"/>
      <c r="F35" s="12"/>
      <c r="G35" s="195"/>
      <c r="P35" s="13"/>
    </row>
    <row r="36" spans="2:16" x14ac:dyDescent="0.25">
      <c r="B36" s="20" t="str">
        <f>"Percentile FTB Enter: "&amp;'Tenure Split (WALES)'!C115</f>
        <v>Percentile FTB Enter: 25</v>
      </c>
      <c r="C36" s="59">
        <f>INDEX('House Prices (North Wales)'!AC$4:AC$84,MATCH('Tenure Split (North Wales)'!C115,'House Prices (North Wales)'!$AB$4:$AB$84,0))</f>
        <v>119809.25068664551</v>
      </c>
      <c r="D36" s="59">
        <f>INDEX('House Prices (North Wales)'!AD$4:AD$84,MATCH('Tenure Split (North Wales)'!D115,'House Prices (North Wales)'!$AB$4:$AB$84,0))</f>
        <v>120076.01254191193</v>
      </c>
      <c r="E36" s="59">
        <f>INDEX('House Prices (North Wales)'!AE$4:AE$84,MATCH('Tenure Split (North Wales)'!E115,'House Prices (North Wales)'!$AB$4:$AB$84,0))</f>
        <v>122660.57426816714</v>
      </c>
      <c r="F36" s="59">
        <f>INDEX('House Prices (North Wales)'!AF$4:AF$84,MATCH('Tenure Split (North Wales)'!F115,'House Prices (North Wales)'!$AB$4:$AB$84,0))</f>
        <v>127444.23467494172</v>
      </c>
      <c r="G36" s="60">
        <f>INDEX('House Prices (North Wales)'!AG$4:AG$84,MATCH('Tenure Split (North Wales)'!G115,'House Prices (North Wales)'!$AB$4:$AB$84,0))</f>
        <v>132730.61183105622</v>
      </c>
      <c r="P36" s="13"/>
    </row>
    <row r="37" spans="2:16" x14ac:dyDescent="0.25">
      <c r="B37" s="20" t="s">
        <v>31</v>
      </c>
      <c r="C37" s="59">
        <f>C36/'Tenure Split (North Wales)'!C114</f>
        <v>31528.750180696188</v>
      </c>
      <c r="D37" s="59">
        <f>D36/'Tenure Split (North Wales)'!D114</f>
        <v>31598.950668924193</v>
      </c>
      <c r="E37" s="59">
        <f>E36/'Tenure Split (North Wales)'!E114</f>
        <v>32279.098491622932</v>
      </c>
      <c r="F37" s="59">
        <f>F36/'Tenure Split (North Wales)'!F114</f>
        <v>33537.95649340572</v>
      </c>
      <c r="G37" s="60">
        <f>G36/'Tenure Split (North Wales)'!G114</f>
        <v>34929.108376593744</v>
      </c>
      <c r="P37" s="13"/>
    </row>
    <row r="38" spans="2:16" x14ac:dyDescent="0.25">
      <c r="B38" s="20" t="s">
        <v>26</v>
      </c>
      <c r="C38" s="12">
        <f>IFERROR(INDEX('Income (North Wales)'!$AB$4:$AB$84,MATCH('Workings - North Wales'!C37,'Income (North Wales)'!AC$4:AC$84,1)),10)</f>
        <v>58</v>
      </c>
      <c r="D38" s="12">
        <f>IFERROR(INDEX('Income (North Wales)'!$AB$4:$AB$84,MATCH('Workings - North Wales'!D37,'Income (North Wales)'!AD$4:AD$84,1)),10)</f>
        <v>57</v>
      </c>
      <c r="E38" s="12">
        <f>IFERROR(INDEX('Income (North Wales)'!$AB$4:$AB$84,MATCH('Workings - North Wales'!E37,'Income (North Wales)'!AE$4:AE$84,1)),10)</f>
        <v>56</v>
      </c>
      <c r="F38" s="12">
        <f>IFERROR(INDEX('Income (North Wales)'!$AB$4:$AB$84,MATCH('Workings - North Wales'!F37,'Income (North Wales)'!AF$4:AF$84,1)),10)</f>
        <v>56</v>
      </c>
      <c r="G38" s="195">
        <f>IFERROR(INDEX('Income (North Wales)'!$AB$4:$AB$84,MATCH('Workings - North Wales'!G37,'Income (North Wales)'!AG$4:AG$84,1)),10)</f>
        <v>56</v>
      </c>
      <c r="P38" s="13"/>
    </row>
    <row r="39" spans="2:16" x14ac:dyDescent="0.25">
      <c r="B39" s="20" t="s">
        <v>27</v>
      </c>
      <c r="C39" s="217">
        <f>(100-C38)/100</f>
        <v>0.42</v>
      </c>
      <c r="D39" s="217">
        <f t="shared" ref="D39:G39" si="3">(100-D38)/100</f>
        <v>0.43</v>
      </c>
      <c r="E39" s="217">
        <f t="shared" si="3"/>
        <v>0.44</v>
      </c>
      <c r="F39" s="217">
        <f t="shared" si="3"/>
        <v>0.44</v>
      </c>
      <c r="G39" s="218">
        <f t="shared" si="3"/>
        <v>0.44</v>
      </c>
      <c r="P39" s="13"/>
    </row>
    <row r="40" spans="2:16" x14ac:dyDescent="0.25">
      <c r="B40" s="20" t="s">
        <v>28</v>
      </c>
      <c r="C40" s="217" t="e">
        <f>C39*'Tenure Split (North Wales)'!C116</f>
        <v>#VALUE!</v>
      </c>
      <c r="D40" s="217" t="e">
        <f>D39*'Tenure Split (North Wales)'!D116</f>
        <v>#VALUE!</v>
      </c>
      <c r="E40" s="217" t="e">
        <f>E39*'Tenure Split (North Wales)'!E116</f>
        <v>#VALUE!</v>
      </c>
      <c r="F40" s="217" t="e">
        <f>F39*'Tenure Split (North Wales)'!F116</f>
        <v>#VALUE!</v>
      </c>
      <c r="G40" s="218" t="e">
        <f>G39*'Tenure Split (North Wales)'!G116</f>
        <v>#VALUE!</v>
      </c>
      <c r="P40" s="13"/>
    </row>
    <row r="41" spans="2:16" x14ac:dyDescent="0.25">
      <c r="B41" s="20" t="s">
        <v>25</v>
      </c>
      <c r="C41" s="221" t="e">
        <f>C40*C11</f>
        <v>#VALUE!</v>
      </c>
      <c r="D41" s="221" t="e">
        <f>D40*D11</f>
        <v>#VALUE!</v>
      </c>
      <c r="E41" s="221" t="e">
        <f>E40*E11</f>
        <v>#VALUE!</v>
      </c>
      <c r="F41" s="221" t="e">
        <f>F40*F11</f>
        <v>#VALUE!</v>
      </c>
      <c r="G41" s="222" t="e">
        <f>G40*G11</f>
        <v>#VALUE!</v>
      </c>
      <c r="P41" s="13"/>
    </row>
    <row r="42" spans="2:16" x14ac:dyDescent="0.25">
      <c r="B42" s="20"/>
      <c r="C42" s="221"/>
      <c r="D42" s="221"/>
      <c r="E42" s="221"/>
      <c r="F42" s="221"/>
      <c r="G42" s="222"/>
      <c r="P42" s="13"/>
    </row>
    <row r="43" spans="2:16" x14ac:dyDescent="0.25">
      <c r="B43" s="196" t="s">
        <v>133</v>
      </c>
      <c r="C43" s="221"/>
      <c r="D43" s="221"/>
      <c r="E43" s="221"/>
      <c r="F43" s="221"/>
      <c r="G43" s="222"/>
      <c r="P43" s="13"/>
    </row>
    <row r="44" spans="2:16" x14ac:dyDescent="0.25">
      <c r="B44" s="223" t="s">
        <v>112</v>
      </c>
      <c r="C44" s="21" t="e">
        <f>C22-C41</f>
        <v>#VALUE!</v>
      </c>
      <c r="D44" s="21" t="e">
        <f>D22-D41</f>
        <v>#VALUE!</v>
      </c>
      <c r="E44" s="21" t="e">
        <f>E22-E41</f>
        <v>#VALUE!</v>
      </c>
      <c r="F44" s="21" t="e">
        <f>F22-F41</f>
        <v>#VALUE!</v>
      </c>
      <c r="G44" s="22" t="e">
        <f>G22-G41</f>
        <v>#VALUE!</v>
      </c>
      <c r="P44" s="13"/>
    </row>
    <row r="45" spans="2:16" x14ac:dyDescent="0.25">
      <c r="B45" s="20"/>
      <c r="C45" s="21"/>
      <c r="D45" s="21"/>
      <c r="E45" s="21"/>
      <c r="F45" s="21"/>
      <c r="G45" s="22"/>
    </row>
    <row r="46" spans="2:16" x14ac:dyDescent="0.25">
      <c r="B46" s="196" t="s">
        <v>32</v>
      </c>
      <c r="C46" s="12"/>
      <c r="D46" s="12"/>
      <c r="E46" s="12"/>
      <c r="F46" s="12"/>
      <c r="G46" s="195"/>
    </row>
    <row r="47" spans="2:16" x14ac:dyDescent="0.25">
      <c r="B47" s="20" t="s">
        <v>30</v>
      </c>
      <c r="C47" s="59">
        <f>'Tenure Split (North Wales)'!C113</f>
        <v>6112.6528154882299</v>
      </c>
      <c r="D47" s="59">
        <f>'Tenure Split (North Wales)'!D113</f>
        <v>6293.1975895894948</v>
      </c>
      <c r="E47" s="59">
        <f>'Tenure Split (North Wales)'!E113</f>
        <v>6485.7752490200419</v>
      </c>
      <c r="F47" s="59">
        <f>'Tenure Split (North Wales)'!F113</f>
        <v>6688.211916811696</v>
      </c>
      <c r="G47" s="60">
        <f>'Tenure Split (North Wales)'!G113</f>
        <v>6900.3382534060565</v>
      </c>
    </row>
    <row r="48" spans="2:16" x14ac:dyDescent="0.25">
      <c r="B48" s="20" t="s">
        <v>33</v>
      </c>
      <c r="C48" s="59">
        <f>C47/'Tenure Split (North Wales)'!C117</f>
        <v>17464.722329966371</v>
      </c>
      <c r="D48" s="59">
        <f>D47/'Tenure Split (North Wales)'!D117</f>
        <v>17980.564541684271</v>
      </c>
      <c r="E48" s="59">
        <f>E47/'Tenure Split (North Wales)'!E117</f>
        <v>18530.786425771548</v>
      </c>
      <c r="F48" s="59">
        <f>F47/'Tenure Split (North Wales)'!F117</f>
        <v>19109.176905176275</v>
      </c>
      <c r="G48" s="60">
        <f>G47/'Tenure Split (North Wales)'!G117</f>
        <v>19715.252152588735</v>
      </c>
    </row>
    <row r="49" spans="2:7" x14ac:dyDescent="0.25">
      <c r="B49" s="20" t="s">
        <v>26</v>
      </c>
      <c r="C49" s="12">
        <f>IFERROR(INDEX('Income (North Wales)'!$AB$4:$AB$84,MATCH('Workings - North Wales'!C48,'Income (North Wales)'!AC$4:AC$84,1)),10)</f>
        <v>30</v>
      </c>
      <c r="D49" s="12">
        <f>IFERROR(INDEX('Income (North Wales)'!$AB$4:$AB$84,MATCH('Workings - North Wales'!D48,'Income (North Wales)'!AD$4:AD$84,1)),10)</f>
        <v>30</v>
      </c>
      <c r="E49" s="12">
        <f>IFERROR(INDEX('Income (North Wales)'!$AB$4:$AB$84,MATCH('Workings - North Wales'!E48,'Income (North Wales)'!AE$4:AE$84,1)),10)</f>
        <v>30</v>
      </c>
      <c r="F49" s="12">
        <f>IFERROR(INDEX('Income (North Wales)'!$AB$4:$AB$84,MATCH('Workings - North Wales'!F48,'Income (North Wales)'!AF$4:AF$84,1)),10)</f>
        <v>30</v>
      </c>
      <c r="G49" s="195">
        <f>IFERROR(INDEX('Income (North Wales)'!$AB$4:$AB$84,MATCH('Workings - North Wales'!G48,'Income (North Wales)'!AG$4:AG$84,1)),10)</f>
        <v>30</v>
      </c>
    </row>
    <row r="50" spans="2:7" x14ac:dyDescent="0.25">
      <c r="B50" s="20" t="s">
        <v>34</v>
      </c>
      <c r="C50" s="217">
        <f>C49/100</f>
        <v>0.3</v>
      </c>
      <c r="D50" s="217">
        <f t="shared" ref="D50:G50" si="4">D49/100</f>
        <v>0.3</v>
      </c>
      <c r="E50" s="217">
        <f t="shared" si="4"/>
        <v>0.3</v>
      </c>
      <c r="F50" s="217">
        <f t="shared" si="4"/>
        <v>0.3</v>
      </c>
      <c r="G50" s="218">
        <f t="shared" si="4"/>
        <v>0.3</v>
      </c>
    </row>
    <row r="51" spans="2:7" x14ac:dyDescent="0.25">
      <c r="B51" s="20" t="s">
        <v>35</v>
      </c>
      <c r="C51" s="221">
        <f>C50*C11</f>
        <v>414.3</v>
      </c>
      <c r="D51" s="221">
        <f>D50*D11</f>
        <v>392.09999999999997</v>
      </c>
      <c r="E51" s="221">
        <f>E50*E11</f>
        <v>390</v>
      </c>
      <c r="F51" s="221">
        <f>F50*F11</f>
        <v>415.2</v>
      </c>
      <c r="G51" s="222">
        <f>G50*G11</f>
        <v>392.09999999999997</v>
      </c>
    </row>
    <row r="52" spans="2:7" x14ac:dyDescent="0.25">
      <c r="B52" s="20" t="s">
        <v>36</v>
      </c>
      <c r="C52" s="221">
        <f>C12</f>
        <v>248.4</v>
      </c>
      <c r="D52" s="221">
        <f>D12</f>
        <v>248.4</v>
      </c>
      <c r="E52" s="221">
        <f>E12</f>
        <v>248.4</v>
      </c>
      <c r="F52" s="221">
        <f>F12</f>
        <v>248.4</v>
      </c>
      <c r="G52" s="222">
        <f>G12</f>
        <v>248.4</v>
      </c>
    </row>
    <row r="53" spans="2:7" x14ac:dyDescent="0.25">
      <c r="B53" s="20" t="s">
        <v>37</v>
      </c>
      <c r="C53" s="221">
        <f>C52+C51</f>
        <v>662.7</v>
      </c>
      <c r="D53" s="221">
        <f t="shared" ref="D53:G53" si="5">D52+D51</f>
        <v>640.5</v>
      </c>
      <c r="E53" s="221">
        <f t="shared" si="5"/>
        <v>638.4</v>
      </c>
      <c r="F53" s="221">
        <f t="shared" si="5"/>
        <v>663.6</v>
      </c>
      <c r="G53" s="222">
        <f t="shared" si="5"/>
        <v>640.5</v>
      </c>
    </row>
    <row r="54" spans="2:7" x14ac:dyDescent="0.25">
      <c r="B54" s="20"/>
      <c r="C54" s="12"/>
      <c r="D54" s="12"/>
      <c r="E54" s="12"/>
      <c r="F54" s="12"/>
      <c r="G54" s="195"/>
    </row>
    <row r="55" spans="2:7" x14ac:dyDescent="0.25">
      <c r="B55" s="196" t="s">
        <v>38</v>
      </c>
      <c r="C55" s="12"/>
      <c r="D55" s="12"/>
      <c r="E55" s="12"/>
      <c r="F55" s="12"/>
      <c r="G55" s="195"/>
    </row>
    <row r="56" spans="2:7" x14ac:dyDescent="0.25">
      <c r="B56" s="224" t="s">
        <v>39</v>
      </c>
      <c r="C56" s="221" t="e">
        <f>C11-C41-C44-C51</f>
        <v>#VALUE!</v>
      </c>
      <c r="D56" s="221" t="e">
        <f>D11-D41-D44-D51</f>
        <v>#VALUE!</v>
      </c>
      <c r="E56" s="221" t="e">
        <f>E11-E41-E44-E51</f>
        <v>#VALUE!</v>
      </c>
      <c r="F56" s="221" t="e">
        <f>F11-F41-F44-F51</f>
        <v>#VALUE!</v>
      </c>
      <c r="G56" s="222" t="e">
        <f>G11-G41-G44-G51</f>
        <v>#VALUE!</v>
      </c>
    </row>
    <row r="57" spans="2:7" x14ac:dyDescent="0.25">
      <c r="B57" s="20"/>
      <c r="C57" s="12"/>
      <c r="D57" s="12"/>
      <c r="E57" s="12"/>
      <c r="F57" s="12"/>
      <c r="G57" s="195"/>
    </row>
    <row r="58" spans="2:7" x14ac:dyDescent="0.25">
      <c r="B58" s="196" t="s">
        <v>240</v>
      </c>
      <c r="C58" s="12"/>
      <c r="D58" s="12"/>
      <c r="E58" s="12"/>
      <c r="F58" s="12"/>
      <c r="G58" s="195"/>
    </row>
    <row r="59" spans="2:7" x14ac:dyDescent="0.25">
      <c r="B59" s="20" t="s">
        <v>25</v>
      </c>
      <c r="C59" s="21" t="e">
        <f>C41</f>
        <v>#VALUE!</v>
      </c>
      <c r="D59" s="21" t="e">
        <f>D41</f>
        <v>#VALUE!</v>
      </c>
      <c r="E59" s="21" t="e">
        <f>E41</f>
        <v>#VALUE!</v>
      </c>
      <c r="F59" s="21" t="e">
        <f>F41</f>
        <v>#VALUE!</v>
      </c>
      <c r="G59" s="22" t="e">
        <f>G41</f>
        <v>#VALUE!</v>
      </c>
    </row>
    <row r="60" spans="2:7" x14ac:dyDescent="0.25">
      <c r="B60" s="20" t="s">
        <v>40</v>
      </c>
      <c r="C60" s="21" t="e">
        <f>C44</f>
        <v>#VALUE!</v>
      </c>
      <c r="D60" s="21" t="e">
        <f>D44</f>
        <v>#VALUE!</v>
      </c>
      <c r="E60" s="21" t="e">
        <f>E44</f>
        <v>#VALUE!</v>
      </c>
      <c r="F60" s="21" t="e">
        <f>F44</f>
        <v>#VALUE!</v>
      </c>
      <c r="G60" s="22" t="e">
        <f>G44</f>
        <v>#VALUE!</v>
      </c>
    </row>
    <row r="61" spans="2:7" x14ac:dyDescent="0.25">
      <c r="B61" s="20" t="s">
        <v>32</v>
      </c>
      <c r="C61" s="21">
        <f>C53</f>
        <v>662.7</v>
      </c>
      <c r="D61" s="21">
        <f>D53</f>
        <v>640.5</v>
      </c>
      <c r="E61" s="21">
        <f>E53</f>
        <v>638.4</v>
      </c>
      <c r="F61" s="21">
        <f>F53</f>
        <v>663.6</v>
      </c>
      <c r="G61" s="22">
        <f>G53</f>
        <v>640.5</v>
      </c>
    </row>
    <row r="62" spans="2:7" x14ac:dyDescent="0.25">
      <c r="B62" s="23" t="s">
        <v>38</v>
      </c>
      <c r="C62" s="25" t="e">
        <f>C56</f>
        <v>#VALUE!</v>
      </c>
      <c r="D62" s="25" t="e">
        <f>D56</f>
        <v>#VALUE!</v>
      </c>
      <c r="E62" s="25" t="e">
        <f>E56</f>
        <v>#VALUE!</v>
      </c>
      <c r="F62" s="25" t="e">
        <f>F56</f>
        <v>#VALUE!</v>
      </c>
      <c r="G62" s="26" t="e">
        <f>G56</f>
        <v>#VALUE!</v>
      </c>
    </row>
  </sheetData>
  <sheetProtection sheet="1" objects="1" scenarios="1"/>
  <mergeCells count="2">
    <mergeCell ref="B3:G6"/>
    <mergeCell ref="B33:G33"/>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Front Page</vt:lpstr>
      <vt:lpstr>Variable Guidance</vt:lpstr>
      <vt:lpstr>Tips for Using the Tool</vt:lpstr>
      <vt:lpstr>Tenure Split (WALES)</vt:lpstr>
      <vt:lpstr>Tenure Split (North Wales)</vt:lpstr>
      <vt:lpstr>Tenure Split (Mid and SW Wales)</vt:lpstr>
      <vt:lpstr>Tenure Split (SE Wales)</vt:lpstr>
      <vt:lpstr>Workings - Wales</vt:lpstr>
      <vt:lpstr>Workings - North Wales</vt:lpstr>
      <vt:lpstr>Workings - Mid and SW Wales</vt:lpstr>
      <vt:lpstr>Workings - SE Wales</vt:lpstr>
      <vt:lpstr>Household Projections</vt:lpstr>
      <vt:lpstr>Yearly Assumptions</vt:lpstr>
      <vt:lpstr>Future Forecasts</vt:lpstr>
      <vt:lpstr>Existing Unmet Need</vt:lpstr>
      <vt:lpstr>Rental Prices</vt:lpstr>
      <vt:lpstr>Income (Wales)</vt:lpstr>
      <vt:lpstr>Income (North Wales)</vt:lpstr>
      <vt:lpstr>Income (Mid and SW Wales)</vt:lpstr>
      <vt:lpstr>Income (SE Wales)</vt:lpstr>
      <vt:lpstr>House Prices (Wales)</vt:lpstr>
      <vt:lpstr>House Prices (North Wales)</vt:lpstr>
      <vt:lpstr>House Prices (Mid and SW Wales)</vt:lpstr>
      <vt:lpstr>House Prices (SE Wales)</vt:lpstr>
      <vt:lpstr>Newly Arising Need</vt:lpstr>
      <vt:lpstr>Regional Map</vt:lpstr>
    </vt:vector>
  </TitlesOfParts>
  <Company>Welsh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Brown, Melanie</dc:creator>
  <cp:lastModifiedBy>Fellows, Carl (Admin)</cp:lastModifiedBy>
  <dcterms:created xsi:type="dcterms:W3CDTF">2019-04-01T08:39:45Z</dcterms:created>
  <dcterms:modified xsi:type="dcterms:W3CDTF">2019-06-04T12:04:27Z</dcterms:modified>
</cp:coreProperties>
</file>