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BroughtonJ\Objective\Objects\"/>
    </mc:Choice>
  </mc:AlternateContent>
  <xr:revisionPtr revIDLastSave="0" documentId="13_ncr:1_{78B31363-6042-4633-BEAA-C1074EE66D0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tents" sheetId="54" r:id="rId1"/>
    <sheet name="Summary Revenue" sheetId="30" r:id="rId2"/>
    <sheet name="A1" sheetId="2" r:id="rId3"/>
    <sheet name="A2" sheetId="97" r:id="rId4"/>
    <sheet name="A3" sheetId="164" r:id="rId5"/>
    <sheet name="B1" sheetId="171" r:id="rId6"/>
    <sheet name="B2" sheetId="172" r:id="rId7"/>
    <sheet name="C" sheetId="153" r:id="rId8"/>
    <sheet name="E" sheetId="154" r:id="rId9"/>
    <sheet name="F" sheetId="155" r:id="rId10"/>
    <sheet name="Table 1" sheetId="138" r:id="rId11"/>
    <sheet name="Table 2" sheetId="149" r:id="rId12"/>
    <sheet name="Table 3" sheetId="168" r:id="rId13"/>
    <sheet name="Table 4 24 25 with analysis" sheetId="175" r:id="rId14"/>
    <sheet name="Table 5" sheetId="167" r:id="rId15"/>
  </sheets>
  <externalReferences>
    <externalReference r:id="rId16"/>
  </externalReferences>
  <definedNames>
    <definedName name="_xlnm.Print_Area" localSheetId="2">'A1'!$A$1:$F$23</definedName>
    <definedName name="_xlnm.Print_Area" localSheetId="3">'A2'!$A$1:$AC$29</definedName>
    <definedName name="_xlnm.Print_Area" localSheetId="4">'A3'!$A$1:$E$28</definedName>
    <definedName name="_xlnm.Print_Area" localSheetId="5">'B1'!$A$1:$R$33</definedName>
    <definedName name="_xlnm.Print_Area" localSheetId="6">'B2'!$A$1:$Y$106</definedName>
    <definedName name="_xlnm.Print_Area" localSheetId="7">'C'!$A$1:$F$26</definedName>
    <definedName name="_xlnm.Print_Area" localSheetId="8">E!$A$1:$G$25</definedName>
    <definedName name="_xlnm.Print_Area" localSheetId="9">F!$A$1:$G$27</definedName>
    <definedName name="_xlnm.Print_Area" localSheetId="1">'Summary Revenue'!$A$1:$I$23</definedName>
    <definedName name="_xlnm.Print_Area" localSheetId="10">'Table 1'!$A$1:$E$22</definedName>
    <definedName name="_xlnm.Print_Area" localSheetId="11">'Table 2'!$A$1:$L$27</definedName>
    <definedName name="_xlnm.Print_Area" localSheetId="12">'Table 3'!$A$1:$DH$44</definedName>
    <definedName name="_xlnm.Print_Area" localSheetId="13">'Table 4 24 25 with analysis'!$A$1:$U$101</definedName>
    <definedName name="_xlnm.Print_Area" localSheetId="14">'Table 5'!$A$1:$M$27</definedName>
    <definedName name="Transitional" localSheetId="4">'[1]Chemist_Data workings'!#REF!</definedName>
    <definedName name="Transitional" localSheetId="5">'[1]Chemist_Data workings'!#REF!</definedName>
    <definedName name="Transitional" localSheetId="8">#REF!</definedName>
    <definedName name="Transitional" localSheetId="13">'[1]Chemist_Data workings'!#REF!</definedName>
    <definedName name="Transitional" localSheetId="14">'[1]Chemist_Data workings'!#REF!</definedName>
    <definedName name="Transitional">'[1]Chemist_Data workings'!#REF!</definedName>
    <definedName name="Z_92B97691_A213_481E_9B20_3BF43CB76868_.wvu.PrintArea" localSheetId="3" hidden="1">'A2'!$A$1:$AC$16</definedName>
    <definedName name="Z_92B97691_A213_481E_9B20_3BF43CB76868_.wvu.PrintArea" localSheetId="4" hidden="1">'A3'!$A$1:$D$16</definedName>
  </definedNames>
  <calcPr calcId="191029"/>
  <customWorkbookViews>
    <customWorkbookView name="Gavin Lewis - Personal View" guid="{92B97691-A213-481E-9B20-3BF43CB76868}" mergeInterval="0" personalView="1" maximized="1" windowWidth="796" windowHeight="432" tabRatio="921" activeSheetId="1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1" i="97" l="1"/>
  <c r="Z3" i="97"/>
  <c r="AA3" i="97" s="1"/>
  <c r="AB3" i="97" s="1"/>
  <c r="O26" i="171"/>
  <c r="U21" i="97" l="1"/>
  <c r="V21" i="97"/>
  <c r="D3" i="138"/>
  <c r="C3" i="138"/>
  <c r="DD4" i="168" l="1"/>
  <c r="DB26" i="168"/>
  <c r="DB39" i="168" s="1"/>
  <c r="DC26" i="168"/>
  <c r="DC39" i="168" s="1"/>
  <c r="Y21" i="97"/>
  <c r="D19" i="138" l="1"/>
  <c r="D17" i="138"/>
  <c r="D15" i="138"/>
  <c r="D13" i="138"/>
  <c r="D11" i="138"/>
  <c r="D9" i="138"/>
  <c r="D7" i="138"/>
  <c r="C21" i="138"/>
  <c r="D21" i="138" l="1"/>
  <c r="DA26" i="168"/>
  <c r="DA39" i="168" s="1"/>
  <c r="T21" i="97"/>
  <c r="W21" i="97"/>
  <c r="X21" i="97"/>
  <c r="K22" i="171" l="1"/>
  <c r="L22" i="171"/>
  <c r="E3" i="155"/>
  <c r="G50" i="172"/>
  <c r="S15" i="97"/>
  <c r="S19" i="97"/>
  <c r="S17" i="97"/>
  <c r="S21" i="97" l="1"/>
  <c r="R21" i="97"/>
  <c r="N22" i="171" l="1"/>
  <c r="O29" i="171" l="1"/>
  <c r="K8" i="167" l="1"/>
  <c r="I8" i="167"/>
  <c r="DD16" i="168"/>
  <c r="CT26" i="168"/>
  <c r="CT39" i="168" s="1"/>
  <c r="U99" i="175" l="1"/>
  <c r="J96" i="175"/>
  <c r="B96" i="175"/>
  <c r="U96" i="175" s="1"/>
  <c r="AF96" i="175" s="1"/>
  <c r="U95" i="175"/>
  <c r="U94" i="175"/>
  <c r="J92" i="175"/>
  <c r="B92" i="175"/>
  <c r="U92" i="175" s="1"/>
  <c r="AF92" i="175" s="1"/>
  <c r="U91" i="175"/>
  <c r="S90" i="175"/>
  <c r="S93" i="175" s="1"/>
  <c r="S97" i="175" s="1"/>
  <c r="S100" i="175" s="1"/>
  <c r="J89" i="175"/>
  <c r="B89" i="175"/>
  <c r="U88" i="175"/>
  <c r="AD88" i="175" s="1"/>
  <c r="J88" i="175"/>
  <c r="B88" i="175"/>
  <c r="J87" i="175"/>
  <c r="B87" i="175"/>
  <c r="U87" i="175" s="1"/>
  <c r="AD87" i="175" s="1"/>
  <c r="U86" i="175"/>
  <c r="T85" i="175"/>
  <c r="T90" i="175" s="1"/>
  <c r="T93" i="175" s="1"/>
  <c r="T97" i="175" s="1"/>
  <c r="S85" i="175"/>
  <c r="R85" i="175"/>
  <c r="R90" i="175" s="1"/>
  <c r="R93" i="175" s="1"/>
  <c r="R97" i="175" s="1"/>
  <c r="Q85" i="175"/>
  <c r="Q90" i="175" s="1"/>
  <c r="Q93" i="175" s="1"/>
  <c r="Q97" i="175" s="1"/>
  <c r="P85" i="175"/>
  <c r="P90" i="175" s="1"/>
  <c r="P93" i="175" s="1"/>
  <c r="P97" i="175" s="1"/>
  <c r="O85" i="175"/>
  <c r="O90" i="175" s="1"/>
  <c r="O93" i="175" s="1"/>
  <c r="O97" i="175" s="1"/>
  <c r="M85" i="175"/>
  <c r="M90" i="175" s="1"/>
  <c r="M93" i="175" s="1"/>
  <c r="M97" i="175" s="1"/>
  <c r="K85" i="175"/>
  <c r="K90" i="175" s="1"/>
  <c r="K93" i="175" s="1"/>
  <c r="K97" i="175" s="1"/>
  <c r="I85" i="175"/>
  <c r="I90" i="175" s="1"/>
  <c r="I93" i="175" s="1"/>
  <c r="I97" i="175" s="1"/>
  <c r="G85" i="175"/>
  <c r="G90" i="175" s="1"/>
  <c r="G93" i="175" s="1"/>
  <c r="G97" i="175" s="1"/>
  <c r="F85" i="175"/>
  <c r="F90" i="175" s="1"/>
  <c r="F93" i="175" s="1"/>
  <c r="F97" i="175" s="1"/>
  <c r="E85" i="175"/>
  <c r="E90" i="175" s="1"/>
  <c r="E93" i="175" s="1"/>
  <c r="E97" i="175" s="1"/>
  <c r="C85" i="175"/>
  <c r="C90" i="175" s="1"/>
  <c r="C93" i="175" s="1"/>
  <c r="C97" i="175" s="1"/>
  <c r="U84" i="175"/>
  <c r="J83" i="175"/>
  <c r="B83" i="175"/>
  <c r="AD82" i="175"/>
  <c r="U82" i="175"/>
  <c r="J82" i="175"/>
  <c r="B82" i="175"/>
  <c r="U81" i="175"/>
  <c r="AC81" i="175" s="1"/>
  <c r="U80" i="175"/>
  <c r="AB80" i="175" s="1"/>
  <c r="J79" i="175"/>
  <c r="U79" i="175" s="1"/>
  <c r="AA79" i="175" s="1"/>
  <c r="H79" i="175"/>
  <c r="J78" i="175"/>
  <c r="H78" i="175"/>
  <c r="B78" i="175"/>
  <c r="U78" i="175" s="1"/>
  <c r="Z78" i="175" s="1"/>
  <c r="U77" i="175"/>
  <c r="Y77" i="175" s="1"/>
  <c r="U76" i="175"/>
  <c r="X76" i="175" s="1"/>
  <c r="N75" i="175"/>
  <c r="N85" i="175" s="1"/>
  <c r="N90" i="175" s="1"/>
  <c r="N93" i="175" s="1"/>
  <c r="N97" i="175" s="1"/>
  <c r="L75" i="175"/>
  <c r="L85" i="175" s="1"/>
  <c r="L90" i="175" s="1"/>
  <c r="L93" i="175" s="1"/>
  <c r="L97" i="175" s="1"/>
  <c r="J75" i="175"/>
  <c r="H75" i="175"/>
  <c r="D75" i="175"/>
  <c r="D85" i="175" s="1"/>
  <c r="D90" i="175" s="1"/>
  <c r="D93" i="175" s="1"/>
  <c r="D97" i="175" s="1"/>
  <c r="B75" i="175"/>
  <c r="U74" i="175"/>
  <c r="AH71" i="175"/>
  <c r="U71" i="175"/>
  <c r="AC70" i="175"/>
  <c r="AB70" i="175"/>
  <c r="AA70" i="175"/>
  <c r="Z70" i="175"/>
  <c r="Y70" i="175"/>
  <c r="X70" i="175"/>
  <c r="W70" i="175"/>
  <c r="U70" i="175"/>
  <c r="AG69" i="175"/>
  <c r="U69" i="175"/>
  <c r="U68" i="175"/>
  <c r="AD68" i="175" s="1"/>
  <c r="AE67" i="175"/>
  <c r="U67" i="175"/>
  <c r="AI66" i="175"/>
  <c r="U66" i="175"/>
  <c r="AC65" i="175"/>
  <c r="AB65" i="175"/>
  <c r="AA65" i="175"/>
  <c r="Z65" i="175"/>
  <c r="Y65" i="175"/>
  <c r="X65" i="175"/>
  <c r="W65" i="175"/>
  <c r="U65" i="175"/>
  <c r="U62" i="175"/>
  <c r="AH62" i="175" s="1"/>
  <c r="AH100" i="175" s="1"/>
  <c r="J60" i="175"/>
  <c r="B60" i="175"/>
  <c r="U59" i="175"/>
  <c r="AI59" i="175" s="1"/>
  <c r="U58" i="175"/>
  <c r="AE58" i="175" s="1"/>
  <c r="U57" i="175"/>
  <c r="AG57" i="175" s="1"/>
  <c r="AC56" i="175"/>
  <c r="AB56" i="175"/>
  <c r="Z56" i="175"/>
  <c r="Y56" i="175"/>
  <c r="X56" i="175"/>
  <c r="J56" i="175"/>
  <c r="AA56" i="175" s="1"/>
  <c r="B56" i="175"/>
  <c r="W56" i="175" s="1"/>
  <c r="O53" i="175"/>
  <c r="O61" i="175" s="1"/>
  <c r="O63" i="175" s="1"/>
  <c r="O72" i="175" s="1"/>
  <c r="U52" i="175"/>
  <c r="AG52" i="175" s="1"/>
  <c r="U51" i="175"/>
  <c r="AE51" i="175" s="1"/>
  <c r="AE100" i="175" s="1"/>
  <c r="U50" i="175"/>
  <c r="AI50" i="175" s="1"/>
  <c r="J49" i="175"/>
  <c r="B49" i="175"/>
  <c r="U49" i="175" s="1"/>
  <c r="AD49" i="175" s="1"/>
  <c r="AC48" i="175"/>
  <c r="AB48" i="175"/>
  <c r="Z48" i="175"/>
  <c r="Y48" i="175"/>
  <c r="X48" i="175"/>
  <c r="J48" i="175"/>
  <c r="AA48" i="175" s="1"/>
  <c r="B48" i="175"/>
  <c r="W48" i="175" s="1"/>
  <c r="O46" i="175"/>
  <c r="M46" i="175"/>
  <c r="M53" i="175" s="1"/>
  <c r="M61" i="175" s="1"/>
  <c r="M63" i="175" s="1"/>
  <c r="M72" i="175" s="1"/>
  <c r="K46" i="175"/>
  <c r="K53" i="175" s="1"/>
  <c r="K61" i="175" s="1"/>
  <c r="K63" i="175" s="1"/>
  <c r="K72" i="175" s="1"/>
  <c r="I46" i="175"/>
  <c r="I53" i="175" s="1"/>
  <c r="I61" i="175" s="1"/>
  <c r="I63" i="175" s="1"/>
  <c r="I72" i="175" s="1"/>
  <c r="G46" i="175"/>
  <c r="G53" i="175" s="1"/>
  <c r="G61" i="175" s="1"/>
  <c r="G63" i="175" s="1"/>
  <c r="G72" i="175" s="1"/>
  <c r="E46" i="175"/>
  <c r="E53" i="175" s="1"/>
  <c r="E61" i="175" s="1"/>
  <c r="E63" i="175" s="1"/>
  <c r="E72" i="175" s="1"/>
  <c r="C46" i="175"/>
  <c r="C53" i="175" s="1"/>
  <c r="C61" i="175" s="1"/>
  <c r="C63" i="175" s="1"/>
  <c r="C72" i="175" s="1"/>
  <c r="AC45" i="175"/>
  <c r="AB45" i="175"/>
  <c r="Z45" i="175"/>
  <c r="Y45" i="175"/>
  <c r="X45" i="175"/>
  <c r="J45" i="175"/>
  <c r="AA45" i="175" s="1"/>
  <c r="B45" i="175"/>
  <c r="U44" i="175"/>
  <c r="AD44" i="175" s="1"/>
  <c r="J44" i="175"/>
  <c r="B44" i="175"/>
  <c r="U43" i="175"/>
  <c r="AG43" i="175" s="1"/>
  <c r="J42" i="175"/>
  <c r="B42" i="175"/>
  <c r="T40" i="175"/>
  <c r="T46" i="175" s="1"/>
  <c r="T53" i="175" s="1"/>
  <c r="T61" i="175" s="1"/>
  <c r="T63" i="175" s="1"/>
  <c r="T72" i="175" s="1"/>
  <c r="S40" i="175"/>
  <c r="S46" i="175" s="1"/>
  <c r="S53" i="175" s="1"/>
  <c r="S61" i="175" s="1"/>
  <c r="S63" i="175" s="1"/>
  <c r="S72" i="175" s="1"/>
  <c r="R40" i="175"/>
  <c r="R46" i="175" s="1"/>
  <c r="R53" i="175" s="1"/>
  <c r="R61" i="175" s="1"/>
  <c r="R63" i="175" s="1"/>
  <c r="R72" i="175" s="1"/>
  <c r="Q40" i="175"/>
  <c r="Q46" i="175" s="1"/>
  <c r="Q53" i="175" s="1"/>
  <c r="Q61" i="175" s="1"/>
  <c r="Q63" i="175" s="1"/>
  <c r="Q72" i="175" s="1"/>
  <c r="P40" i="175"/>
  <c r="P46" i="175" s="1"/>
  <c r="P53" i="175" s="1"/>
  <c r="P61" i="175" s="1"/>
  <c r="P63" i="175" s="1"/>
  <c r="P72" i="175" s="1"/>
  <c r="F40" i="175"/>
  <c r="F46" i="175" s="1"/>
  <c r="F53" i="175" s="1"/>
  <c r="F61" i="175" s="1"/>
  <c r="F63" i="175" s="1"/>
  <c r="F72" i="175" s="1"/>
  <c r="U39" i="175"/>
  <c r="AG39" i="175" s="1"/>
  <c r="U38" i="175"/>
  <c r="AF38" i="175" s="1"/>
  <c r="U37" i="175"/>
  <c r="AI37" i="175" s="1"/>
  <c r="L36" i="175"/>
  <c r="J36" i="175"/>
  <c r="B36" i="175"/>
  <c r="U36" i="175" s="1"/>
  <c r="AD36" i="175" s="1"/>
  <c r="U35" i="175"/>
  <c r="AC35" i="175" s="1"/>
  <c r="U34" i="175"/>
  <c r="AB34" i="175" s="1"/>
  <c r="AB100" i="175" s="1"/>
  <c r="J33" i="175"/>
  <c r="H33" i="175"/>
  <c r="U33" i="175" s="1"/>
  <c r="AA33" i="175" s="1"/>
  <c r="B33" i="175"/>
  <c r="J32" i="175"/>
  <c r="B32" i="175"/>
  <c r="U31" i="175"/>
  <c r="Y31" i="175" s="1"/>
  <c r="U30" i="175"/>
  <c r="X30" i="175" s="1"/>
  <c r="N29" i="175"/>
  <c r="N40" i="175" s="1"/>
  <c r="N46" i="175" s="1"/>
  <c r="N53" i="175" s="1"/>
  <c r="N61" i="175" s="1"/>
  <c r="N63" i="175" s="1"/>
  <c r="N72" i="175" s="1"/>
  <c r="L29" i="175"/>
  <c r="L40" i="175" s="1"/>
  <c r="L46" i="175" s="1"/>
  <c r="L53" i="175" s="1"/>
  <c r="L61" i="175" s="1"/>
  <c r="L63" i="175" s="1"/>
  <c r="L72" i="175" s="1"/>
  <c r="J29" i="175"/>
  <c r="H29" i="175"/>
  <c r="D29" i="175"/>
  <c r="B29" i="175"/>
  <c r="B4" i="175"/>
  <c r="U83" i="175" l="1"/>
  <c r="AF83" i="175" s="1"/>
  <c r="U89" i="175"/>
  <c r="AF89" i="175" s="1"/>
  <c r="T100" i="175"/>
  <c r="AC100" i="175"/>
  <c r="U42" i="175"/>
  <c r="AD42" i="175" s="1"/>
  <c r="AD100" i="175" s="1"/>
  <c r="U60" i="175"/>
  <c r="AD60" i="175" s="1"/>
  <c r="M100" i="175"/>
  <c r="U32" i="175"/>
  <c r="Z32" i="175" s="1"/>
  <c r="Z100" i="175" s="1"/>
  <c r="H85" i="175"/>
  <c r="H90" i="175" s="1"/>
  <c r="H93" i="175" s="1"/>
  <c r="H97" i="175" s="1"/>
  <c r="Y100" i="175"/>
  <c r="H40" i="175"/>
  <c r="H46" i="175" s="1"/>
  <c r="H53" i="175" s="1"/>
  <c r="H61" i="175" s="1"/>
  <c r="H63" i="175" s="1"/>
  <c r="H72" i="175" s="1"/>
  <c r="J85" i="175"/>
  <c r="J90" i="175" s="1"/>
  <c r="J93" i="175" s="1"/>
  <c r="J97" i="175" s="1"/>
  <c r="AA100" i="175"/>
  <c r="AG100" i="175"/>
  <c r="J40" i="175"/>
  <c r="J46" i="175" s="1"/>
  <c r="J53" i="175" s="1"/>
  <c r="J61" i="175" s="1"/>
  <c r="J63" i="175" s="1"/>
  <c r="J72" i="175" s="1"/>
  <c r="J100" i="175" s="1"/>
  <c r="B14" i="175" s="1"/>
  <c r="C14" i="171" s="1"/>
  <c r="U75" i="175"/>
  <c r="W75" i="175" s="1"/>
  <c r="L100" i="175"/>
  <c r="B16" i="175" s="1"/>
  <c r="C16" i="171" s="1"/>
  <c r="C100" i="175"/>
  <c r="B85" i="175"/>
  <c r="U48" i="175"/>
  <c r="I100" i="175"/>
  <c r="B40" i="175"/>
  <c r="H100" i="175"/>
  <c r="B12" i="175" s="1"/>
  <c r="C12" i="171" s="1"/>
  <c r="O100" i="175"/>
  <c r="Q100" i="175"/>
  <c r="R100" i="175"/>
  <c r="E100" i="175"/>
  <c r="P100" i="175"/>
  <c r="U29" i="175"/>
  <c r="W29" i="175" s="1"/>
  <c r="W100" i="175" s="1"/>
  <c r="AC102" i="175" s="1"/>
  <c r="D40" i="175"/>
  <c r="D46" i="175" s="1"/>
  <c r="D53" i="175" s="1"/>
  <c r="D61" i="175" s="1"/>
  <c r="D63" i="175" s="1"/>
  <c r="D72" i="175" s="1"/>
  <c r="D100" i="175" s="1"/>
  <c r="B8" i="175" s="1"/>
  <c r="C8" i="171" s="1"/>
  <c r="W45" i="175"/>
  <c r="U45" i="175"/>
  <c r="F100" i="175"/>
  <c r="B10" i="175" s="1"/>
  <c r="C10" i="171" s="1"/>
  <c r="X100" i="175"/>
  <c r="AI100" i="175"/>
  <c r="AC104" i="175" s="1"/>
  <c r="U56" i="175"/>
  <c r="N100" i="175"/>
  <c r="B18" i="175" s="1"/>
  <c r="C18" i="171" s="1"/>
  <c r="G100" i="175"/>
  <c r="AF100" i="175"/>
  <c r="K100" i="175"/>
  <c r="U40" i="175" l="1"/>
  <c r="B46" i="175"/>
  <c r="B90" i="175"/>
  <c r="U85" i="175"/>
  <c r="AC103" i="175"/>
  <c r="AC105" i="175" s="1"/>
  <c r="B93" i="175" l="1"/>
  <c r="U90" i="175"/>
  <c r="U46" i="175"/>
  <c r="B53" i="175"/>
  <c r="U53" i="175" l="1"/>
  <c r="B61" i="175"/>
  <c r="U93" i="175"/>
  <c r="B97" i="175"/>
  <c r="U97" i="175" l="1"/>
  <c r="U61" i="175"/>
  <c r="B63" i="175"/>
  <c r="B72" i="175" l="1"/>
  <c r="U63" i="175"/>
  <c r="U72" i="175" l="1"/>
  <c r="B100" i="175"/>
  <c r="B20" i="175" l="1"/>
  <c r="U100" i="175"/>
  <c r="B22" i="175" l="1"/>
  <c r="C20" i="171"/>
  <c r="C82" i="172" l="1"/>
  <c r="E10" i="171"/>
  <c r="E18" i="171"/>
  <c r="E16" i="171"/>
  <c r="E12" i="171"/>
  <c r="E8" i="171"/>
  <c r="G21" i="97"/>
  <c r="E17" i="97" l="1"/>
  <c r="E7" i="97"/>
  <c r="E9" i="97"/>
  <c r="F17" i="97"/>
  <c r="F9" i="97"/>
  <c r="F7" i="97"/>
  <c r="F19" i="97"/>
  <c r="F15" i="97"/>
  <c r="F13" i="97"/>
  <c r="F11" i="97"/>
  <c r="CZ26" i="168"/>
  <c r="CZ39" i="168" s="1"/>
  <c r="F21" i="97" l="1"/>
  <c r="CX26" i="168"/>
  <c r="CX39" i="168" s="1"/>
  <c r="CY26" i="168"/>
  <c r="CY39" i="168" s="1"/>
  <c r="M21" i="97" l="1"/>
  <c r="E20" i="171"/>
  <c r="E14" i="171"/>
  <c r="C78" i="172"/>
  <c r="C76" i="172"/>
  <c r="G7" i="149" l="1"/>
  <c r="CW26" i="168"/>
  <c r="CW39" i="168" s="1"/>
  <c r="CV26" i="168"/>
  <c r="CV39" i="168" s="1"/>
  <c r="DD37" i="168"/>
  <c r="DD35" i="168"/>
  <c r="DD29" i="168"/>
  <c r="CU26" i="168"/>
  <c r="CU39" i="168" s="1"/>
  <c r="DD22" i="168"/>
  <c r="DD18" i="168"/>
  <c r="DD12" i="168"/>
  <c r="DD8" i="168"/>
  <c r="M20" i="171" l="1"/>
  <c r="M18" i="171"/>
  <c r="M16" i="171"/>
  <c r="M14" i="171"/>
  <c r="M12" i="171"/>
  <c r="M10" i="171"/>
  <c r="M8" i="171"/>
  <c r="O33" i="171" l="1"/>
  <c r="O21" i="97"/>
  <c r="P21" i="97"/>
  <c r="N21" i="97"/>
  <c r="L7" i="97"/>
  <c r="L21" i="97" s="1"/>
  <c r="C44" i="172"/>
  <c r="E21" i="149"/>
  <c r="E13" i="149"/>
  <c r="D21" i="149"/>
  <c r="D13" i="149"/>
  <c r="C17" i="149" l="1"/>
  <c r="C15" i="149"/>
  <c r="C13" i="149"/>
  <c r="B21" i="155"/>
  <c r="C21" i="155"/>
  <c r="D21" i="155"/>
  <c r="C3" i="155"/>
  <c r="D3" i="155" s="1"/>
  <c r="J15" i="97"/>
  <c r="J21" i="97" s="1"/>
  <c r="K21" i="97"/>
  <c r="K32" i="172"/>
  <c r="H21" i="97" l="1"/>
  <c r="I21" i="97"/>
  <c r="K92" i="172"/>
  <c r="C92" i="172"/>
  <c r="Q105" i="172"/>
  <c r="Q90" i="172"/>
  <c r="Q88" i="172"/>
  <c r="Q86" i="172"/>
  <c r="Q84" i="172"/>
  <c r="B8" i="167"/>
  <c r="B20" i="167"/>
  <c r="B18" i="167"/>
  <c r="B16" i="167"/>
  <c r="B14" i="167"/>
  <c r="B12" i="167"/>
  <c r="B10" i="167"/>
  <c r="E8" i="167"/>
  <c r="E20" i="167"/>
  <c r="E18" i="167"/>
  <c r="E16" i="167"/>
  <c r="E14" i="167"/>
  <c r="E12" i="167"/>
  <c r="E10" i="167"/>
  <c r="CR26" i="168" l="1"/>
  <c r="CR39" i="168" s="1"/>
  <c r="CO26" i="168"/>
  <c r="CO39" i="168" s="1"/>
  <c r="CP26" i="168"/>
  <c r="CP39" i="168" s="1"/>
  <c r="CQ26" i="168"/>
  <c r="CQ39" i="168" s="1"/>
  <c r="CM10" i="168"/>
  <c r="CL26" i="168"/>
  <c r="CL39" i="168" s="1"/>
  <c r="CN26" i="168"/>
  <c r="CN39" i="168" s="1"/>
  <c r="CS26" i="168"/>
  <c r="CS39" i="168" s="1"/>
  <c r="CM26" i="168" l="1"/>
  <c r="CM39" i="168" s="1"/>
  <c r="DD10" i="168"/>
  <c r="AA21" i="97"/>
  <c r="G18" i="171" l="1"/>
  <c r="Q82" i="172" l="1"/>
  <c r="CK26" i="168" l="1"/>
  <c r="CK39" i="168" s="1"/>
  <c r="M30" i="172" l="1"/>
  <c r="M92" i="172" s="1"/>
  <c r="Q50" i="172" l="1"/>
  <c r="Q44" i="172"/>
  <c r="I42" i="172"/>
  <c r="Q42" i="172" s="1"/>
  <c r="O36" i="172"/>
  <c r="I36" i="172"/>
  <c r="Q38" i="172"/>
  <c r="Q30" i="172"/>
  <c r="O28" i="172"/>
  <c r="I28" i="172"/>
  <c r="E22" i="172"/>
  <c r="Q22" i="172" s="1"/>
  <c r="O16" i="172"/>
  <c r="I16" i="172"/>
  <c r="G14" i="172"/>
  <c r="G92" i="172" s="1"/>
  <c r="E8" i="172"/>
  <c r="E92" i="172" s="1"/>
  <c r="D19" i="30"/>
  <c r="D17" i="30"/>
  <c r="Q80" i="172"/>
  <c r="Q78" i="172"/>
  <c r="Q76" i="172"/>
  <c r="Q74" i="172"/>
  <c r="Q72" i="172"/>
  <c r="Q70" i="172"/>
  <c r="Q68" i="172"/>
  <c r="Q66" i="172"/>
  <c r="Q64" i="172"/>
  <c r="Q62" i="172"/>
  <c r="Q60" i="172"/>
  <c r="Q58" i="172"/>
  <c r="Q56" i="172"/>
  <c r="Q54" i="172"/>
  <c r="Q52" i="172"/>
  <c r="Q48" i="172"/>
  <c r="Q46" i="172"/>
  <c r="Q40" i="172"/>
  <c r="Q34" i="172"/>
  <c r="Q32" i="172"/>
  <c r="Q26" i="172"/>
  <c r="Q24" i="172"/>
  <c r="Q20" i="172"/>
  <c r="Q18" i="172"/>
  <c r="Q12" i="172"/>
  <c r="Q10" i="172"/>
  <c r="Q6" i="172"/>
  <c r="I92" i="172" l="1"/>
  <c r="O92" i="172"/>
  <c r="D21" i="30" s="1"/>
  <c r="D11" i="30"/>
  <c r="D15" i="30"/>
  <c r="Q16" i="172"/>
  <c r="Q8" i="172"/>
  <c r="Q28" i="172"/>
  <c r="Q36" i="172"/>
  <c r="D13" i="30"/>
  <c r="Q14" i="172"/>
  <c r="D9" i="30"/>
  <c r="A8" i="172"/>
  <c r="A10" i="172" s="1"/>
  <c r="A12" i="172" s="1"/>
  <c r="A14" i="172" s="1"/>
  <c r="A16" i="172" s="1"/>
  <c r="A18" i="172" s="1"/>
  <c r="A20" i="172" s="1"/>
  <c r="A22" i="172" s="1"/>
  <c r="A24" i="172" s="1"/>
  <c r="A26" i="172" s="1"/>
  <c r="A28" i="172" s="1"/>
  <c r="A30" i="172" s="1"/>
  <c r="A32" i="172" s="1"/>
  <c r="A34" i="172" s="1"/>
  <c r="A36" i="172" s="1"/>
  <c r="A38" i="172" s="1"/>
  <c r="A40" i="172" s="1"/>
  <c r="A42" i="172" s="1"/>
  <c r="A44" i="172" s="1"/>
  <c r="A46" i="172" s="1"/>
  <c r="A48" i="172" s="1"/>
  <c r="A50" i="172" s="1"/>
  <c r="A52" i="172" s="1"/>
  <c r="A54" i="172" s="1"/>
  <c r="A56" i="172" s="1"/>
  <c r="A58" i="172" s="1"/>
  <c r="A60" i="172" s="1"/>
  <c r="A62" i="172" s="1"/>
  <c r="A64" i="172" s="1"/>
  <c r="A66" i="172" s="1"/>
  <c r="A68" i="172" s="1"/>
  <c r="A70" i="172" s="1"/>
  <c r="A72" i="172" s="1"/>
  <c r="A74" i="172" s="1"/>
  <c r="A76" i="172" s="1"/>
  <c r="A78" i="172" s="1"/>
  <c r="A80" i="172" s="1"/>
  <c r="D21" i="154"/>
  <c r="Q92" i="172" l="1"/>
  <c r="A82" i="172"/>
  <c r="A84" i="172" s="1"/>
  <c r="A86" i="172" s="1"/>
  <c r="A88" i="172" s="1"/>
  <c r="A90" i="172" s="1"/>
  <c r="CJ26" i="168"/>
  <c r="CJ39" i="168" s="1"/>
  <c r="CI26" i="168"/>
  <c r="CI39" i="168" s="1"/>
  <c r="D20" i="153" l="1"/>
  <c r="F21" i="30" s="1"/>
  <c r="D18" i="153"/>
  <c r="F19" i="30" s="1"/>
  <c r="D16" i="153"/>
  <c r="F17" i="30" s="1"/>
  <c r="D14" i="153"/>
  <c r="F15" i="30" s="1"/>
  <c r="D12" i="153"/>
  <c r="F13" i="30" s="1"/>
  <c r="D10" i="153"/>
  <c r="F11" i="30" s="1"/>
  <c r="D8" i="153"/>
  <c r="F9" i="30" s="1"/>
  <c r="C22" i="153"/>
  <c r="G20" i="171"/>
  <c r="G16" i="171"/>
  <c r="G14" i="171"/>
  <c r="G12" i="171"/>
  <c r="G10" i="171"/>
  <c r="G8" i="171"/>
  <c r="CH26" i="168"/>
  <c r="CH39" i="168" s="1"/>
  <c r="CG26" i="168"/>
  <c r="CG39" i="168" s="1"/>
  <c r="D22" i="153" l="1"/>
  <c r="E19" i="155"/>
  <c r="E17" i="155"/>
  <c r="E15" i="155"/>
  <c r="E13" i="155"/>
  <c r="E11" i="155"/>
  <c r="E9" i="155"/>
  <c r="E7" i="155"/>
  <c r="E21" i="97" l="1"/>
  <c r="D21" i="97" l="1"/>
  <c r="CF26" i="168" l="1"/>
  <c r="CF39" i="168" s="1"/>
  <c r="M22" i="171" l="1"/>
  <c r="E7" i="154" l="1"/>
  <c r="C21" i="154"/>
  <c r="CE26" i="168" l="1"/>
  <c r="CE39" i="168" s="1"/>
  <c r="J22" i="171" l="1"/>
  <c r="I22" i="171"/>
  <c r="H22" i="171"/>
  <c r="B16" i="171"/>
  <c r="C4" i="171"/>
  <c r="D4" i="171" s="1"/>
  <c r="B22" i="171" l="1"/>
  <c r="E4" i="171"/>
  <c r="F4" i="171" s="1"/>
  <c r="G4" i="171" s="1"/>
  <c r="H4" i="171" s="1"/>
  <c r="I4" i="171" s="1"/>
  <c r="J4" i="171" s="1"/>
  <c r="K4" i="171" s="1"/>
  <c r="L4" i="171" s="1"/>
  <c r="M4" i="171" s="1"/>
  <c r="N4" i="171" s="1"/>
  <c r="O4" i="171" s="1"/>
  <c r="E22" i="171"/>
  <c r="F22" i="171"/>
  <c r="G22" i="171"/>
  <c r="BX26" i="168" l="1"/>
  <c r="BX39" i="168" s="1"/>
  <c r="BY26" i="168"/>
  <c r="BW26" i="168"/>
  <c r="BW39" i="168" s="1"/>
  <c r="CC26" i="168"/>
  <c r="CC39" i="168" s="1"/>
  <c r="CD26" i="168"/>
  <c r="CD39" i="168" s="1"/>
  <c r="BZ26" i="168" l="1"/>
  <c r="BZ39" i="168" s="1"/>
  <c r="CA26" i="168"/>
  <c r="CA39" i="168" s="1"/>
  <c r="C3" i="97" l="1"/>
  <c r="D3" i="97" s="1"/>
  <c r="E3" i="97" s="1"/>
  <c r="F3" i="97" s="1"/>
  <c r="G3" i="97" s="1"/>
  <c r="H3" i="97" s="1"/>
  <c r="I3" i="97" s="1"/>
  <c r="J3" i="97" s="1"/>
  <c r="K3" i="97" s="1"/>
  <c r="L3" i="97" s="1"/>
  <c r="M3" i="97" s="1"/>
  <c r="N3" i="97" s="1"/>
  <c r="O3" i="97" s="1"/>
  <c r="P3" i="97" s="1"/>
  <c r="Q3" i="97" s="1"/>
  <c r="R3" i="97" s="1"/>
  <c r="S3" i="97" s="1"/>
  <c r="T3" i="97" s="1"/>
  <c r="U3" i="97" s="1"/>
  <c r="V3" i="97" s="1"/>
  <c r="W3" i="97" s="1"/>
  <c r="X3" i="97" s="1"/>
  <c r="Y3" i="97" s="1"/>
  <c r="CB26" i="168" l="1"/>
  <c r="CB39" i="168" s="1"/>
  <c r="BY39" i="168"/>
  <c r="C21" i="97" l="1"/>
  <c r="BS26" i="168" l="1"/>
  <c r="BS39" i="168" s="1"/>
  <c r="BT26" i="168"/>
  <c r="BT39" i="168" s="1"/>
  <c r="BU26" i="168"/>
  <c r="BU39" i="168" s="1"/>
  <c r="BV26" i="168"/>
  <c r="BV39" i="168" s="1"/>
  <c r="BR26" i="168" l="1"/>
  <c r="BR39" i="168" s="1"/>
  <c r="E19" i="154" l="1"/>
  <c r="G21" i="30" s="1"/>
  <c r="E17" i="154"/>
  <c r="G19" i="30" s="1"/>
  <c r="E15" i="154"/>
  <c r="E13" i="154"/>
  <c r="G15" i="30" s="1"/>
  <c r="E11" i="154"/>
  <c r="G13" i="30" s="1"/>
  <c r="E9" i="154"/>
  <c r="G11" i="30" s="1"/>
  <c r="G9" i="30"/>
  <c r="BO26" i="168"/>
  <c r="BO39" i="168" s="1"/>
  <c r="BP26" i="168"/>
  <c r="BP39" i="168" s="1"/>
  <c r="C4" i="167"/>
  <c r="D4" i="167" s="1"/>
  <c r="E4" i="167" s="1"/>
  <c r="F4" i="167" s="1"/>
  <c r="G4" i="167" s="1"/>
  <c r="H4" i="167" s="1"/>
  <c r="I4" i="167" s="1"/>
  <c r="J4" i="167" s="1"/>
  <c r="K4" i="167" s="1"/>
  <c r="L4" i="167" s="1"/>
  <c r="F8" i="167"/>
  <c r="F22" i="167" s="1"/>
  <c r="L10" i="167"/>
  <c r="L12" i="167"/>
  <c r="C14" i="167"/>
  <c r="H14" i="167"/>
  <c r="F16" i="167"/>
  <c r="L16" i="167" s="1"/>
  <c r="F18" i="167"/>
  <c r="L18" i="167" s="1"/>
  <c r="C20" i="167"/>
  <c r="E22" i="167"/>
  <c r="H20" i="167"/>
  <c r="H22" i="167" s="1"/>
  <c r="D22" i="167"/>
  <c r="G22" i="167"/>
  <c r="I22" i="167"/>
  <c r="J22" i="167"/>
  <c r="K22" i="167"/>
  <c r="C4" i="168"/>
  <c r="D4" i="168" s="1"/>
  <c r="E4" i="168" s="1"/>
  <c r="F4" i="168" s="1"/>
  <c r="G4" i="168" s="1"/>
  <c r="H4" i="168" s="1"/>
  <c r="I4" i="168" s="1"/>
  <c r="J4" i="168" s="1"/>
  <c r="K4" i="168" s="1"/>
  <c r="L4" i="168" s="1"/>
  <c r="M4" i="168" s="1"/>
  <c r="N4" i="168" s="1"/>
  <c r="O4" i="168" s="1"/>
  <c r="P4" i="168" s="1"/>
  <c r="Q4" i="168" s="1"/>
  <c r="R4" i="168" s="1"/>
  <c r="S4" i="168" s="1"/>
  <c r="T4" i="168" s="1"/>
  <c r="U4" i="168" s="1"/>
  <c r="V4" i="168" s="1"/>
  <c r="W4" i="168" s="1"/>
  <c r="X4" i="168" s="1"/>
  <c r="Y4" i="168" s="1"/>
  <c r="Z4" i="168" s="1"/>
  <c r="AA4" i="168" s="1"/>
  <c r="AB4" i="168" s="1"/>
  <c r="AC4" i="168" s="1"/>
  <c r="AD4" i="168" s="1"/>
  <c r="AE4" i="168" s="1"/>
  <c r="AF4" i="168" s="1"/>
  <c r="AG4" i="168" s="1"/>
  <c r="AH4" i="168" s="1"/>
  <c r="AI4" i="168" s="1"/>
  <c r="AJ4" i="168" s="1"/>
  <c r="AK4" i="168" s="1"/>
  <c r="AL4" i="168" s="1"/>
  <c r="AM4" i="168" s="1"/>
  <c r="AN4" i="168" s="1"/>
  <c r="AO4" i="168" s="1"/>
  <c r="AP4" i="168" s="1"/>
  <c r="AQ4" i="168" s="1"/>
  <c r="AR4" i="168" s="1"/>
  <c r="AS4" i="168" s="1"/>
  <c r="AT4" i="168" s="1"/>
  <c r="AU4" i="168" s="1"/>
  <c r="AV4" i="168" s="1"/>
  <c r="AW4" i="168" s="1"/>
  <c r="AX4" i="168" s="1"/>
  <c r="AY4" i="168" s="1"/>
  <c r="AZ4" i="168" s="1"/>
  <c r="BA4" i="168" s="1"/>
  <c r="BB4" i="168" s="1"/>
  <c r="BC4" i="168" s="1"/>
  <c r="BD4" i="168" s="1"/>
  <c r="BE4" i="168" s="1"/>
  <c r="BF4" i="168" s="1"/>
  <c r="BG4" i="168" s="1"/>
  <c r="BH4" i="168" s="1"/>
  <c r="BI4" i="168" s="1"/>
  <c r="BJ4" i="168" s="1"/>
  <c r="BK4" i="168" s="1"/>
  <c r="BL4" i="168" s="1"/>
  <c r="BM4" i="168" s="1"/>
  <c r="BN4" i="168" s="1"/>
  <c r="BO4" i="168" s="1"/>
  <c r="BP4" i="168" s="1"/>
  <c r="BQ4" i="168" s="1"/>
  <c r="BR4" i="168" s="1"/>
  <c r="BS4" i="168" s="1"/>
  <c r="BT4" i="168" s="1"/>
  <c r="BU4" i="168" s="1"/>
  <c r="BV4" i="168" s="1"/>
  <c r="BW4" i="168" s="1"/>
  <c r="BX4" i="168" s="1"/>
  <c r="BY4" i="168" s="1"/>
  <c r="BZ4" i="168" s="1"/>
  <c r="CA4" i="168" s="1"/>
  <c r="CB4" i="168" s="1"/>
  <c r="CC4" i="168" s="1"/>
  <c r="CD4" i="168" s="1"/>
  <c r="CE4" i="168" s="1"/>
  <c r="DH8" i="168"/>
  <c r="Q7" i="97" s="1"/>
  <c r="AB7" i="97" s="1"/>
  <c r="DH10" i="168"/>
  <c r="DH12" i="168"/>
  <c r="B14" i="168"/>
  <c r="Q14" i="168"/>
  <c r="Q26" i="168" s="1"/>
  <c r="Q39" i="168" s="1"/>
  <c r="DH16" i="168"/>
  <c r="DH18" i="168"/>
  <c r="Y20" i="168"/>
  <c r="M24" i="168"/>
  <c r="P24" i="168"/>
  <c r="P26" i="168" s="1"/>
  <c r="X24" i="168"/>
  <c r="X26" i="168" s="1"/>
  <c r="X39" i="168" s="1"/>
  <c r="AA24" i="168"/>
  <c r="AA26" i="168" s="1"/>
  <c r="AA39" i="168" s="1"/>
  <c r="AX24" i="168"/>
  <c r="AX26" i="168" s="1"/>
  <c r="AX39" i="168" s="1"/>
  <c r="C26" i="168"/>
  <c r="D26" i="168"/>
  <c r="E26" i="168"/>
  <c r="E39" i="168" s="1"/>
  <c r="F26" i="168"/>
  <c r="F39" i="168" s="1"/>
  <c r="G26" i="168"/>
  <c r="G39" i="168" s="1"/>
  <c r="H26" i="168"/>
  <c r="H39" i="168" s="1"/>
  <c r="I26" i="168"/>
  <c r="I39" i="168" s="1"/>
  <c r="J26" i="168"/>
  <c r="J39" i="168" s="1"/>
  <c r="K26" i="168"/>
  <c r="K39" i="168" s="1"/>
  <c r="L26" i="168"/>
  <c r="L39" i="168" s="1"/>
  <c r="N26" i="168"/>
  <c r="N39" i="168" s="1"/>
  <c r="O26" i="168"/>
  <c r="O39" i="168" s="1"/>
  <c r="R26" i="168"/>
  <c r="R39" i="168" s="1"/>
  <c r="S26" i="168"/>
  <c r="S39" i="168" s="1"/>
  <c r="T26" i="168"/>
  <c r="T39" i="168" s="1"/>
  <c r="U26" i="168"/>
  <c r="U39" i="168" s="1"/>
  <c r="V26" i="168"/>
  <c r="V39" i="168" s="1"/>
  <c r="W26" i="168"/>
  <c r="W39" i="168" s="1"/>
  <c r="Z26" i="168"/>
  <c r="Z39" i="168" s="1"/>
  <c r="AB26" i="168"/>
  <c r="AB39" i="168" s="1"/>
  <c r="AC26" i="168"/>
  <c r="AC39" i="168" s="1"/>
  <c r="AD26" i="168"/>
  <c r="AD39" i="168" s="1"/>
  <c r="AE26" i="168"/>
  <c r="AE39" i="168" s="1"/>
  <c r="AF26" i="168"/>
  <c r="AF39" i="168" s="1"/>
  <c r="AG26" i="168"/>
  <c r="AG39" i="168" s="1"/>
  <c r="AH26" i="168"/>
  <c r="AH39" i="168" s="1"/>
  <c r="AI26" i="168"/>
  <c r="AI39" i="168" s="1"/>
  <c r="AJ26" i="168"/>
  <c r="AJ39" i="168" s="1"/>
  <c r="AK26" i="168"/>
  <c r="AK39" i="168" s="1"/>
  <c r="AL26" i="168"/>
  <c r="AL39" i="168" s="1"/>
  <c r="AM26" i="168"/>
  <c r="AM39" i="168" s="1"/>
  <c r="AN26" i="168"/>
  <c r="AN39" i="168" s="1"/>
  <c r="AO26" i="168"/>
  <c r="AO39" i="168" s="1"/>
  <c r="AP26" i="168"/>
  <c r="AP39" i="168" s="1"/>
  <c r="AQ26" i="168"/>
  <c r="AQ39" i="168" s="1"/>
  <c r="AR26" i="168"/>
  <c r="AR39" i="168" s="1"/>
  <c r="AS26" i="168"/>
  <c r="AS39" i="168" s="1"/>
  <c r="AT26" i="168"/>
  <c r="AT39" i="168" s="1"/>
  <c r="AU26" i="168"/>
  <c r="AU39" i="168" s="1"/>
  <c r="AV26" i="168"/>
  <c r="AV39" i="168" s="1"/>
  <c r="AW26" i="168"/>
  <c r="AW39" i="168" s="1"/>
  <c r="AY26" i="168"/>
  <c r="AY39" i="168" s="1"/>
  <c r="AZ26" i="168"/>
  <c r="AZ39" i="168" s="1"/>
  <c r="BA26" i="168"/>
  <c r="BA39" i="168" s="1"/>
  <c r="BB26" i="168"/>
  <c r="BB39" i="168" s="1"/>
  <c r="BC26" i="168"/>
  <c r="BC39" i="168" s="1"/>
  <c r="BD26" i="168"/>
  <c r="BD39" i="168" s="1"/>
  <c r="BE26" i="168"/>
  <c r="BE39" i="168" s="1"/>
  <c r="BF26" i="168"/>
  <c r="BF39" i="168" s="1"/>
  <c r="BG26" i="168"/>
  <c r="BG39" i="168" s="1"/>
  <c r="BH26" i="168"/>
  <c r="BH39" i="168" s="1"/>
  <c r="BI26" i="168"/>
  <c r="BI39" i="168" s="1"/>
  <c r="BJ26" i="168"/>
  <c r="BJ39" i="168" s="1"/>
  <c r="BK26" i="168"/>
  <c r="BK39" i="168" s="1"/>
  <c r="BL26" i="168"/>
  <c r="BL39" i="168" s="1"/>
  <c r="BM26" i="168"/>
  <c r="BM39" i="168" s="1"/>
  <c r="BN26" i="168"/>
  <c r="BN39" i="168" s="1"/>
  <c r="BQ26" i="168"/>
  <c r="BQ39" i="168" s="1"/>
  <c r="C31" i="168"/>
  <c r="D31" i="168"/>
  <c r="P31" i="168"/>
  <c r="C33" i="168"/>
  <c r="D33" i="168"/>
  <c r="DF39" i="168"/>
  <c r="C3" i="149"/>
  <c r="D3" i="149" s="1"/>
  <c r="G9" i="149"/>
  <c r="G11" i="149"/>
  <c r="G13" i="149"/>
  <c r="D14" i="171" s="1"/>
  <c r="H13" i="149"/>
  <c r="I13" i="149"/>
  <c r="J13" i="149"/>
  <c r="G15" i="149"/>
  <c r="G17" i="149"/>
  <c r="G19" i="149"/>
  <c r="D20" i="171" s="1"/>
  <c r="H19" i="149"/>
  <c r="I19" i="149"/>
  <c r="J19" i="149"/>
  <c r="B21" i="149"/>
  <c r="C21" i="149"/>
  <c r="F21" i="149"/>
  <c r="H9" i="30"/>
  <c r="H11" i="30"/>
  <c r="H13" i="30"/>
  <c r="H15" i="30"/>
  <c r="H17" i="30"/>
  <c r="H19" i="30"/>
  <c r="H21" i="30"/>
  <c r="B21" i="154"/>
  <c r="D9" i="164"/>
  <c r="D9" i="2" s="1"/>
  <c r="D11" i="164"/>
  <c r="D11" i="2" s="1"/>
  <c r="D13" i="164"/>
  <c r="D13" i="2" s="1"/>
  <c r="D15" i="164"/>
  <c r="D15" i="2" s="1"/>
  <c r="D17" i="164"/>
  <c r="D17" i="2" s="1"/>
  <c r="D19" i="164"/>
  <c r="D19" i="2" s="1"/>
  <c r="B21" i="164"/>
  <c r="B21" i="97"/>
  <c r="C3" i="2"/>
  <c r="D3" i="2" s="1"/>
  <c r="E3" i="2" s="1"/>
  <c r="B21" i="2"/>
  <c r="C5" i="30"/>
  <c r="D5" i="30"/>
  <c r="E5" i="30" s="1"/>
  <c r="F5" i="30" s="1"/>
  <c r="G5" i="30" s="1"/>
  <c r="H5" i="30" s="1"/>
  <c r="I5" i="30" s="1"/>
  <c r="G17" i="30"/>
  <c r="DD14" i="168" l="1"/>
  <c r="DD33" i="168"/>
  <c r="M26" i="168"/>
  <c r="M39" i="168" s="1"/>
  <c r="DD24" i="168"/>
  <c r="DD31" i="168"/>
  <c r="DD20" i="168"/>
  <c r="DH20" i="168" s="1"/>
  <c r="Q19" i="97" s="1"/>
  <c r="AB19" i="97" s="1"/>
  <c r="C19" i="2" s="1"/>
  <c r="E19" i="2" s="1"/>
  <c r="B21" i="30" s="1"/>
  <c r="E3" i="149"/>
  <c r="F3" i="149" s="1"/>
  <c r="G3" i="149" s="1"/>
  <c r="H3" i="149" s="1"/>
  <c r="I3" i="149" s="1"/>
  <c r="J3" i="149" s="1"/>
  <c r="K3" i="149" s="1"/>
  <c r="I21" i="149"/>
  <c r="L14" i="167"/>
  <c r="C22" i="167"/>
  <c r="B22" i="167"/>
  <c r="H21" i="149"/>
  <c r="J21" i="149"/>
  <c r="Q9" i="97"/>
  <c r="AB9" i="97" s="1"/>
  <c r="C9" i="2" s="1"/>
  <c r="E9" i="2" s="1"/>
  <c r="B11" i="30" s="1"/>
  <c r="Q17" i="97"/>
  <c r="AB17" i="97" s="1"/>
  <c r="C17" i="2" s="1"/>
  <c r="E17" i="2" s="1"/>
  <c r="B19" i="30" s="1"/>
  <c r="Q15" i="97"/>
  <c r="AB15" i="97" s="1"/>
  <c r="C15" i="2" s="1"/>
  <c r="E15" i="2" s="1"/>
  <c r="B17" i="30" s="1"/>
  <c r="Q11" i="97"/>
  <c r="AB11" i="97" s="1"/>
  <c r="C11" i="2" s="1"/>
  <c r="E11" i="2" s="1"/>
  <c r="B13" i="30" s="1"/>
  <c r="L20" i="167"/>
  <c r="L8" i="167"/>
  <c r="K17" i="149"/>
  <c r="D18" i="171"/>
  <c r="K15" i="149"/>
  <c r="D16" i="171"/>
  <c r="K7" i="149"/>
  <c r="D8" i="171"/>
  <c r="K11" i="149"/>
  <c r="D12" i="171"/>
  <c r="K9" i="149"/>
  <c r="D10" i="171"/>
  <c r="O10" i="171" s="1"/>
  <c r="CF4" i="168"/>
  <c r="CG4" i="168" s="1"/>
  <c r="CH4" i="168" s="1"/>
  <c r="CI4" i="168" s="1"/>
  <c r="CJ4" i="168" s="1"/>
  <c r="CK4" i="168" s="1"/>
  <c r="CL4" i="168" s="1"/>
  <c r="CM4" i="168" s="1"/>
  <c r="CN4" i="168" s="1"/>
  <c r="CO4" i="168" s="1"/>
  <c r="CP4" i="168" s="1"/>
  <c r="CQ4" i="168" s="1"/>
  <c r="CR4" i="168" s="1"/>
  <c r="CS4" i="168" s="1"/>
  <c r="CT4" i="168" s="1"/>
  <c r="CU4" i="168" s="1"/>
  <c r="CV4" i="168" s="1"/>
  <c r="CW4" i="168" s="1"/>
  <c r="CX4" i="168" s="1"/>
  <c r="CY4" i="168" s="1"/>
  <c r="CZ4" i="168" s="1"/>
  <c r="B21" i="138"/>
  <c r="D39" i="168"/>
  <c r="P39" i="168"/>
  <c r="C7" i="2"/>
  <c r="E21" i="154"/>
  <c r="C39" i="168"/>
  <c r="B26" i="168"/>
  <c r="Y26" i="168"/>
  <c r="Y39" i="168" s="1"/>
  <c r="K19" i="149"/>
  <c r="K13" i="149"/>
  <c r="G21" i="149"/>
  <c r="E21" i="155"/>
  <c r="H23" i="30"/>
  <c r="G23" i="30"/>
  <c r="B22" i="153"/>
  <c r="F23" i="30"/>
  <c r="DA4" i="168" l="1"/>
  <c r="DB4" i="168" s="1"/>
  <c r="DC4" i="168" s="1"/>
  <c r="O14" i="171"/>
  <c r="C15" i="30" s="1"/>
  <c r="O12" i="171"/>
  <c r="C13" i="30" s="1"/>
  <c r="E13" i="30" s="1"/>
  <c r="O8" i="171"/>
  <c r="C9" i="30" s="1"/>
  <c r="O18" i="171"/>
  <c r="C19" i="30" s="1"/>
  <c r="E19" i="30" s="1"/>
  <c r="O16" i="171"/>
  <c r="C17" i="30" s="1"/>
  <c r="E17" i="30" s="1"/>
  <c r="B39" i="168"/>
  <c r="DD39" i="168" s="1"/>
  <c r="DD26" i="168"/>
  <c r="C11" i="30"/>
  <c r="K21" i="149"/>
  <c r="D22" i="171"/>
  <c r="L22" i="167"/>
  <c r="D23" i="30"/>
  <c r="DH14" i="168"/>
  <c r="Q13" i="97" s="1"/>
  <c r="Q21" i="97" s="1"/>
  <c r="DE12" i="168"/>
  <c r="I19" i="30" l="1"/>
  <c r="I17" i="30"/>
  <c r="I13" i="30"/>
  <c r="DH39" i="168"/>
  <c r="AB13" i="97" l="1"/>
  <c r="E11" i="30"/>
  <c r="I11" i="30" l="1"/>
  <c r="C13" i="2"/>
  <c r="AB21" i="97"/>
  <c r="E13" i="2" l="1"/>
  <c r="C21" i="2"/>
  <c r="B15" i="30" l="1"/>
  <c r="O20" i="171" l="1"/>
  <c r="E15" i="30"/>
  <c r="C22" i="171" l="1"/>
  <c r="I15" i="30"/>
  <c r="C21" i="30" l="1"/>
  <c r="O22" i="171"/>
  <c r="E21" i="30" l="1"/>
  <c r="C23" i="30"/>
  <c r="I21" i="30" l="1"/>
  <c r="C21" i="164"/>
  <c r="D7" i="164"/>
  <c r="D21" i="164" s="1"/>
  <c r="D7" i="2" l="1"/>
  <c r="E7" i="2" l="1"/>
  <c r="D21" i="2"/>
  <c r="B9" i="30" l="1"/>
  <c r="E21" i="2"/>
  <c r="B23" i="30" l="1"/>
  <c r="E9" i="30"/>
  <c r="I9" i="30" l="1"/>
  <c r="I23" i="30" s="1"/>
  <c r="E23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Broughton, Julie (DHSS - Finance)</author>
    <author>Broughton, Julie (HSS - Finance)</author>
    <author>Meredith, Elen (DHSS - Finance)</author>
    <author>tc={99E53BF9-7B51-4D75-8C65-1470EA8D8ED7}</author>
  </authors>
  <commentList>
    <comment ref="B14" authorId="0" shapeId="0" xr:uid="{00000000-0006-0000-0C00-000001000000}">
      <text>
        <r>
          <rPr>
            <b/>
            <sz val="12"/>
            <color indexed="81"/>
            <rFont val="Tahoma"/>
            <family val="2"/>
          </rPr>
          <t>Broughton, Julie (DHSS - Finance):</t>
        </r>
        <r>
          <rPr>
            <sz val="12"/>
            <color indexed="81"/>
            <rFont val="Tahoma"/>
            <family val="2"/>
          </rPr>
          <t xml:space="preserve">
Includes additional Audit input agreed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F14" authorId="1" shapeId="0" xr:uid="{00000000-0006-0000-0C00-000002000000}">
      <text>
        <r>
          <rPr>
            <b/>
            <sz val="12"/>
            <color indexed="81"/>
            <rFont val="Tahoma"/>
            <family val="2"/>
          </rPr>
          <t>Broughton, Julie (HSS - Finance):</t>
        </r>
        <r>
          <rPr>
            <sz val="12"/>
            <color indexed="81"/>
            <rFont val="Tahoma"/>
            <family val="2"/>
          </rPr>
          <t xml:space="preserve">
Includes Bridgend adjustment £1.818m</t>
        </r>
      </text>
    </comment>
    <comment ref="Y20" authorId="2" shapeId="0" xr:uid="{00000000-0006-0000-0C00-000003000000}">
      <text>
        <r>
          <rPr>
            <b/>
            <sz val="12"/>
            <color indexed="81"/>
            <rFont val="Tahoma"/>
            <family val="2"/>
          </rPr>
          <t>Meredith, Elen (DHSS - Finance):</t>
        </r>
        <r>
          <rPr>
            <sz val="12"/>
            <color indexed="81"/>
            <rFont val="Tahoma"/>
            <family val="2"/>
          </rPr>
          <t xml:space="preserve">
2017-18 £22,133 Band 3 to ABM
£44,266 2x band 3 Estates Buyers to NWSSP
£37,775 Omnicell Band 6 to NWSSP
£82,041 IOH posts (1xBand6. 2xBand 3) to NWSSP</t>
        </r>
      </text>
    </comment>
    <comment ref="DF20" authorId="1" shapeId="0" xr:uid="{00000000-0006-0000-0C00-000004000000}">
      <text>
        <r>
          <rPr>
            <b/>
            <sz val="12"/>
            <color indexed="81"/>
            <rFont val="Tahoma"/>
            <family val="2"/>
          </rPr>
          <t>Broughton, Julie (HSS - Finance):</t>
        </r>
        <r>
          <rPr>
            <sz val="12"/>
            <color indexed="81"/>
            <rFont val="Tahoma"/>
            <family val="2"/>
          </rPr>
          <t xml:space="preserve">
Includes Bridgend adjustment £-1.818m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0" shapeId="0" xr:uid="{00000000-0006-0000-0C00-000005000000}">
      <text>
        <r>
          <rPr>
            <b/>
            <sz val="12"/>
            <color indexed="81"/>
            <rFont val="Tahoma"/>
            <family val="2"/>
          </rPr>
          <t>Broughton, Julie (DHSS - Finance):</t>
        </r>
        <r>
          <rPr>
            <sz val="12"/>
            <color indexed="81"/>
            <rFont val="Tahoma"/>
            <family val="2"/>
          </rPr>
          <t xml:space="preserve">
Includes £0.040m for NWSSP ESR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4" authorId="2" shapeId="0" xr:uid="{00000000-0006-0000-0C00-000006000000}">
      <text>
        <r>
          <rPr>
            <b/>
            <sz val="12"/>
            <color indexed="81"/>
            <rFont val="Tahoma"/>
            <family val="2"/>
          </rPr>
          <t>Meredith, Elen (DHSS - Finance):</t>
        </r>
        <r>
          <rPr>
            <sz val="12"/>
            <color indexed="81"/>
            <rFont val="Tahoma"/>
            <family val="2"/>
          </rPr>
          <t xml:space="preserve">
17-18 - £40k reduction to NWIS for Vending Machines and Telecoms.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B24" authorId="3" shapeId="0" xr:uid="{99E53BF9-7B51-4D75-8C65-1470EA8D8ED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 storage, management &amp; delivery£2.417m
Mass Vaccination  £1.187m
Lateral Flow Testing / Delivery £0.148m 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Broughton, Julie (HSS - Finance)</author>
    <author>Hughes, Andrea (HSS - Finance)</author>
    <author>Bowden, Claire (HSS - NHS Finance - HSS Finance)</author>
  </authors>
  <commentList>
    <comment ref="B14" authorId="0" shapeId="0" xr:uid="{90869874-B4BC-44EB-9F5C-6820AFC38F7F}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Bridgend Transfer</t>
        </r>
      </text>
    </comment>
    <comment ref="B20" authorId="0" shapeId="0" xr:uid="{1EC85027-FD62-463C-857C-D4019DC7560C}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Bridgend Transfer</t>
        </r>
      </text>
    </comment>
    <comment ref="T62" authorId="1" shapeId="0" xr:uid="{9BEA7787-49E6-4AB5-8C2E-95A0AD4519A5}">
      <text>
        <r>
          <rPr>
            <b/>
            <sz val="9"/>
            <color indexed="81"/>
            <rFont val="Tahoma"/>
            <family val="2"/>
          </rPr>
          <t>Hughes, Andrea (HSS - Finance):</t>
        </r>
        <r>
          <rPr>
            <sz val="9"/>
            <color indexed="81"/>
            <rFont val="Tahoma"/>
            <family val="2"/>
          </rPr>
          <t xml:space="preserve">
Reduced from £0.600m to align to the HEIW Allocation Paper issued in 21/22
</t>
        </r>
      </text>
    </comment>
    <comment ref="A68" authorId="2" shapeId="0" xr:uid="{71B2C98A-BE41-47FB-9FCB-9FF18C4435B3}">
      <text>
        <r>
          <rPr>
            <b/>
            <sz val="9"/>
            <color indexed="81"/>
            <rFont val="Tahoma"/>
            <family val="2"/>
          </rPr>
          <t>Bowden, Claire (HSS - NHS Finance - HSS Finance): reduction of £0.193m not actioned</t>
        </r>
      </text>
    </comment>
    <comment ref="A70" authorId="2" shapeId="0" xr:uid="{753BA7DC-1DF2-4BAE-93F1-9FEB3673851B}">
      <text>
        <r>
          <rPr>
            <b/>
            <sz val="9"/>
            <color indexed="81"/>
            <rFont val="Tahoma"/>
            <family val="2"/>
          </rPr>
          <t>Bowden, Claire (HSS - NHS Finance - HSS Finance):</t>
        </r>
        <r>
          <rPr>
            <sz val="9"/>
            <color indexed="81"/>
            <rFont val="Tahoma"/>
            <family val="2"/>
          </rPr>
          <t xml:space="preserve">
reduced from £2.541 and split as per draft 24 25 allocation sheet on file 10/05/2023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Broughton, Julie (HSS - Finance)</author>
  </authors>
  <commentList>
    <comment ref="F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19-20 allocation letter
</t>
        </r>
      </text>
    </comment>
    <comment ref="F16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in 19-20 allocation letter</t>
        </r>
      </text>
    </comment>
    <comment ref="F18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Broughton, Julie (HSS - Finance):</t>
        </r>
        <r>
          <rPr>
            <sz val="9"/>
            <color indexed="81"/>
            <rFont val="Tahoma"/>
            <family val="2"/>
          </rPr>
          <t xml:space="preserve">
Removal of funding in 19-20 allocation letter</t>
        </r>
      </text>
    </comment>
  </commentList>
</comments>
</file>

<file path=xl/sharedStrings.xml><?xml version="1.0" encoding="utf-8"?>
<sst xmlns="http://schemas.openxmlformats.org/spreadsheetml/2006/main" count="792" uniqueCount="396">
  <si>
    <t>Total</t>
  </si>
  <si>
    <t>Table A1</t>
  </si>
  <si>
    <t>Table A2</t>
  </si>
  <si>
    <t>Table B1</t>
  </si>
  <si>
    <t>Table B2</t>
  </si>
  <si>
    <t>Table C</t>
  </si>
  <si>
    <t xml:space="preserve">Contents </t>
  </si>
  <si>
    <t xml:space="preserve"> </t>
  </si>
  <si>
    <t>Dental SIFT</t>
  </si>
  <si>
    <t>Table E</t>
  </si>
  <si>
    <t>Revenue Allocation for Community Pharmacy Contract</t>
  </si>
  <si>
    <t>Revenue Allocation for Dental Contract</t>
  </si>
  <si>
    <t>Table F</t>
  </si>
  <si>
    <t>Total Adjustments (Carried forward to Table A1, Column 2)</t>
  </si>
  <si>
    <t xml:space="preserve">Revenue Allocation for GMS Contract </t>
  </si>
  <si>
    <t>£m</t>
  </si>
  <si>
    <t>Table 1</t>
  </si>
  <si>
    <t>Table 2</t>
  </si>
  <si>
    <t>Substance Misuse Funding</t>
  </si>
  <si>
    <t xml:space="preserve">Radiotherapy </t>
  </si>
  <si>
    <t>Aneurin Bevan HB</t>
  </si>
  <si>
    <t>Cardiff and Vale University HB</t>
  </si>
  <si>
    <t>Powys HB</t>
  </si>
  <si>
    <t>Hywel Dda HB</t>
  </si>
  <si>
    <t>Table B2 - HCHS Directed Expenditure Analysis</t>
  </si>
  <si>
    <t>Total (carried forward to Summary Table)</t>
  </si>
  <si>
    <t xml:space="preserve">HCHS Ring-Fenced Revenue Allocations </t>
  </si>
  <si>
    <t>Directed Expenditure Allocations</t>
  </si>
  <si>
    <t>Total Mental Health Ring-Fenced Allocation</t>
  </si>
  <si>
    <t>Betsi Cadwaladr University HB</t>
  </si>
  <si>
    <t>Primary Care Prescribing</t>
  </si>
  <si>
    <t>GMS 
(QOF and ES)</t>
  </si>
  <si>
    <t>Other Primary Care</t>
  </si>
  <si>
    <t>Table C: Revenue Allocation for GMS Contract - £ million</t>
  </si>
  <si>
    <t>Table E: Revenue Allocation for Community Pharmacy Contract - £ million</t>
  </si>
  <si>
    <t>Table F: Revenue Allocation for Dental Contract - £ million</t>
  </si>
  <si>
    <t>NWIS</t>
  </si>
  <si>
    <t>Baseline Adjustments</t>
  </si>
  <si>
    <t>Contractor Services</t>
  </si>
  <si>
    <t>Primary Care complaints</t>
  </si>
  <si>
    <t>Infrastructure SIFT</t>
  </si>
  <si>
    <t>Audit Services</t>
  </si>
  <si>
    <t>Employment Services</t>
  </si>
  <si>
    <t>Welsh Ambulance Services NHST</t>
  </si>
  <si>
    <t>Velindre NHST</t>
  </si>
  <si>
    <t>Public Health Wales NHST</t>
  </si>
  <si>
    <t>Procurement Services</t>
  </si>
  <si>
    <t xml:space="preserve">WHS </t>
  </si>
  <si>
    <t>Welsh Government</t>
  </si>
  <si>
    <t>Prescribing Services</t>
  </si>
  <si>
    <t>Facilities Services</t>
  </si>
  <si>
    <t>Table 1: Substance Misuse Funding</t>
  </si>
  <si>
    <t>Table 3</t>
  </si>
  <si>
    <t>Shared Services Funding</t>
  </si>
  <si>
    <t>Counter Fraud</t>
  </si>
  <si>
    <t>ICS Repatriation to HBs</t>
  </si>
  <si>
    <t>Risk Pool Services</t>
  </si>
  <si>
    <t>Legal and Risk Services</t>
  </si>
  <si>
    <t>Depreciation Funding Adjustment</t>
  </si>
  <si>
    <t>Table 4</t>
  </si>
  <si>
    <t>Short Term Wheelchair loans</t>
  </si>
  <si>
    <t>Blood Disorders funding</t>
  </si>
  <si>
    <t>SIFT, PHLS, R&amp;D and PGMDE Depreciation (exc. Velindre)</t>
  </si>
  <si>
    <t>ESR Savings/  Oracle Team/  WfIS / EST Team transfer</t>
  </si>
  <si>
    <t>Deanery - transfer of 2 posts</t>
  </si>
  <si>
    <t>Removal of Depreciation from revenue allocation</t>
  </si>
  <si>
    <t>Table A3</t>
  </si>
  <si>
    <t>Recurrent Additional Funding</t>
  </si>
  <si>
    <t>Betsi Cadwaladr University LHB</t>
  </si>
  <si>
    <t>Wales Analytical Prescribing Support Unit</t>
  </si>
  <si>
    <t>Mental Health CALL Helpline</t>
  </si>
  <si>
    <t xml:space="preserve">Hospital, Community and Health Services and Prescribing (HCHSP) - Discretionary Allocation </t>
  </si>
  <si>
    <t>AWMSG</t>
  </si>
  <si>
    <t>WeMeRec</t>
  </si>
  <si>
    <t>Blood Borne Viral treatment centre funding</t>
  </si>
  <si>
    <t>Workforce Education &amp; Development and Finance (1)</t>
  </si>
  <si>
    <t>Value for all</t>
  </si>
  <si>
    <t>National Dietician Procurement role</t>
  </si>
  <si>
    <t>Job Evaluation Unit</t>
  </si>
  <si>
    <t>Repatriation of posts</t>
  </si>
  <si>
    <t>Pay Award (including element from WAST)</t>
  </si>
  <si>
    <t>TUPE of staff member to ABM</t>
  </si>
  <si>
    <t>GP Trainee (NWSSP support costs)</t>
  </si>
  <si>
    <t>TOTAL</t>
  </si>
  <si>
    <t>OVERALL TOTAL</t>
  </si>
  <si>
    <t>NWIS HB  changes</t>
  </si>
  <si>
    <t>Community Health Council funding</t>
  </si>
  <si>
    <t>Low Vision Service Wales (LVSW) - hosting</t>
  </si>
  <si>
    <t>Eye Health Examination Wales (EHEW) - hosting</t>
  </si>
  <si>
    <t>IMTP and Workforce</t>
  </si>
  <si>
    <t>Cluster funding</t>
  </si>
  <si>
    <t>Wet AMD</t>
  </si>
  <si>
    <t>Inverse Care Law</t>
  </si>
  <si>
    <t>Occupational Health for GPs</t>
  </si>
  <si>
    <t>Table 5</t>
  </si>
  <si>
    <t>Primary Care Funding</t>
  </si>
  <si>
    <t>Employers Salary Unit -  Recharges</t>
  </si>
  <si>
    <t>Staff transfer - Royal Glamorgan Hospital</t>
  </si>
  <si>
    <t>Employment Law Services transfer - Block 1</t>
  </si>
  <si>
    <t>Employment Law Services transfer - Block 2</t>
  </si>
  <si>
    <t>Surgical Material Testing Laboratory (SMTL)</t>
  </si>
  <si>
    <t>Primary Medical Care Advisory Team</t>
  </si>
  <si>
    <t>DX Expenses</t>
  </si>
  <si>
    <t>Summary - Revenue</t>
  </si>
  <si>
    <t>(Memorandum table)</t>
  </si>
  <si>
    <t>Total Amount (Already included in discretionary baseline)</t>
  </si>
  <si>
    <t>Brecon Group register</t>
  </si>
  <si>
    <t>Assistive Technology (Staff costs)</t>
  </si>
  <si>
    <t>National Imaging Academy</t>
  </si>
  <si>
    <t>Revised remuneration &amp; time commitment (Chair WHSSC/EASC)</t>
  </si>
  <si>
    <t>111 roll out</t>
  </si>
  <si>
    <t>Pay award Implementation costs</t>
  </si>
  <si>
    <t>National Clinical Assessment Service (NCAS)</t>
  </si>
  <si>
    <t>Hywel Dda - Accounts Payable Management</t>
  </si>
  <si>
    <t>PCS - CHC records service</t>
  </si>
  <si>
    <t>Deputy Head of Procurement</t>
  </si>
  <si>
    <t>Procurement Business Manager</t>
  </si>
  <si>
    <t>Supply Chain Operative</t>
  </si>
  <si>
    <t>Procurement clerk/OH officer</t>
  </si>
  <si>
    <t>Increase band of Head of Procurement</t>
  </si>
  <si>
    <t>Procurement Business Officer, Assistant &amp; Clerk</t>
  </si>
  <si>
    <t>Previous years hidden</t>
  </si>
  <si>
    <t>Band 3 support GP single employer arrangement</t>
  </si>
  <si>
    <t>Funding to support relocation claims</t>
  </si>
  <si>
    <t>Tier 2 sponsorship arrangements</t>
  </si>
  <si>
    <t xml:space="preserve">Table 2 - Total Mental Health Ring Fenced </t>
  </si>
  <si>
    <t>Programme manager funding</t>
  </si>
  <si>
    <t>Funding for local communication activity in primary care</t>
  </si>
  <si>
    <t>Genomics - Core Funding for AWMGS</t>
  </si>
  <si>
    <t>HEIW SLA</t>
  </si>
  <si>
    <t>WEDS adjustments</t>
  </si>
  <si>
    <t>Student award costs in WEDS budget</t>
  </si>
  <si>
    <t>2018-19 Core uplift</t>
  </si>
  <si>
    <t>Agenda for Change funding</t>
  </si>
  <si>
    <t>Cwm Taf Morgannwg HB</t>
  </si>
  <si>
    <t>Swansea Bay HB</t>
  </si>
  <si>
    <t>Swansea Bay  HB</t>
  </si>
  <si>
    <t>Amounts in the table below have been increased (core uplift applied to Table A3)</t>
  </si>
  <si>
    <t>In year change: Organ Donation leaflets</t>
  </si>
  <si>
    <t>In year change: Technology Enables Learning</t>
  </si>
  <si>
    <t>Transfer of Optometry Service from PHW</t>
  </si>
  <si>
    <t>Clinical Nurse Procurement - Aneurin Bevan</t>
  </si>
  <si>
    <t>NHS Wales Shared Services adjustments (Table 3)</t>
  </si>
  <si>
    <t>Training of Medical Emergency Response Incident Teams (MERIT)</t>
  </si>
  <si>
    <t>National Lymphedema funding</t>
  </si>
  <si>
    <t>Single Employer arrangement Pre Reg Pharmacy and Dental VTs</t>
  </si>
  <si>
    <t>HEIW</t>
  </si>
  <si>
    <t>Velindre NHS Trust Chief Operating Officer Post</t>
  </si>
  <si>
    <t>PH &amp; W Coordinator Posts (WHIG)</t>
  </si>
  <si>
    <t>National Director and Strategic Programme Lead for Primary Care</t>
  </si>
  <si>
    <t>Endometriosis Nursing posts (WHIG)</t>
  </si>
  <si>
    <t>Unit 13 Court Road residual funding of Cwmbran stores transfer</t>
  </si>
  <si>
    <t>Bank/ Medical recruitment transfer CTM</t>
  </si>
  <si>
    <t>IP5 funding</t>
  </si>
  <si>
    <t>IP5 lab PSBA recurrent costs (transfer from PHW)</t>
  </si>
  <si>
    <t xml:space="preserve">Data Analyst </t>
  </si>
  <si>
    <t>Quality &amp; Care</t>
  </si>
  <si>
    <t>Single Lead Employer support costs</t>
  </si>
  <si>
    <t>Primary Care - GP Adverts</t>
  </si>
  <si>
    <t>Strategic Pay Modelling</t>
  </si>
  <si>
    <t>Baseline Adjustments
 (Table A2)</t>
  </si>
  <si>
    <t>Additional Recurrent funding (Table A3)</t>
  </si>
  <si>
    <t>Core uplift 2019-20</t>
  </si>
  <si>
    <t>Core uplift 2020-21</t>
  </si>
  <si>
    <t>Core Uplift 2021-22</t>
  </si>
  <si>
    <t>All Wales Specialist Pharmacist</t>
  </si>
  <si>
    <t>changes: Additional SMTP top slice</t>
  </si>
  <si>
    <t>Pay and prices increase 2%</t>
  </si>
  <si>
    <t>Support for Omnicell System</t>
  </si>
  <si>
    <t>Modernisation of Procurement team</t>
  </si>
  <si>
    <t>Additional Band 7 post</t>
  </si>
  <si>
    <t>Estates Maintenance</t>
  </si>
  <si>
    <t>Transfer of all Wales Pharmacist post</t>
  </si>
  <si>
    <t>2021-22 Pay award funding</t>
  </si>
  <si>
    <t>GMPI Operational budget</t>
  </si>
  <si>
    <t>AWTTC</t>
  </si>
  <si>
    <t>2 National Clinical Lead posts (optometry)</t>
  </si>
  <si>
    <t>Commercial access agreements for NICE and AWMSG approved medicines</t>
  </si>
  <si>
    <t>NHS Redress running costs</t>
  </si>
  <si>
    <t>CAGE funding</t>
  </si>
  <si>
    <t>DHCW</t>
  </si>
  <si>
    <t>NWSSP baseline SLA movement Velindre to DHCW</t>
  </si>
  <si>
    <t>Increase Employment Law Block Funding</t>
  </si>
  <si>
    <t>Removal of WEDS commissioning funding</t>
  </si>
  <si>
    <t>Cancer Support/ SLAs from Wales Cancer Network</t>
  </si>
  <si>
    <t>Learning Disabilities</t>
  </si>
  <si>
    <t>Depreciation (Table 4 Column 1)</t>
  </si>
  <si>
    <t>Genomics for Precision Medicine Strategy (inc new Genetic Tests)</t>
  </si>
  <si>
    <t>Critical care funding (EASC funding)</t>
  </si>
  <si>
    <t>All Wales Specialist Paediatric Lymphedema Nurse</t>
  </si>
  <si>
    <t>DAN 24/7 helpline</t>
  </si>
  <si>
    <t>SLAs from Lymphedema Network</t>
  </si>
  <si>
    <t>Mental Health Services (Table 2 column 8)</t>
  </si>
  <si>
    <t>WIBSS Operational Costs</t>
  </si>
  <si>
    <t>Total Additional Recurrent funding (Carried forward to Table A1, Column 3)</t>
  </si>
  <si>
    <t>UWIC Dental Contract SLA</t>
  </si>
  <si>
    <t>Swansea Graduate Entry scheme</t>
  </si>
  <si>
    <t xml:space="preserve">Swansea Clinical Medical School </t>
  </si>
  <si>
    <t>2023-24 Recurrent HCHS and Prescribing Discretionary Allocation</t>
  </si>
  <si>
    <t>In year: Ophthalmic lead adjustment</t>
  </si>
  <si>
    <t>Critical care funding (including WHSSC funding and PACU)</t>
  </si>
  <si>
    <t>National Nursing Lead for Primary and Community Care</t>
  </si>
  <si>
    <t>SPPC Funding (previously Pathfinders)</t>
  </si>
  <si>
    <t>National Allied Health Professional Lead</t>
  </si>
  <si>
    <t>NHS Wales Decarbonisation Strategic Delivery Plan and Net Zero targets</t>
  </si>
  <si>
    <t>Commercial access agreements for NICE and AWMSG approved medicines (full year additional cost)</t>
  </si>
  <si>
    <t>Regional Integration Fund (incorporating previously allocated ICF), plus £1m Carers Funding added</t>
  </si>
  <si>
    <t>National Lymphedema Network funding</t>
  </si>
  <si>
    <t>Innovation &amp; Delivery Fund/Programme Management costs</t>
  </si>
  <si>
    <t>Value based Recovery (£14m)</t>
  </si>
  <si>
    <t>Additional Procurement Support CTM HB</t>
  </si>
  <si>
    <t>Additional Supply Chain support/Post in Procurement team BCU</t>
  </si>
  <si>
    <t>NHS Collaborative Procurement support</t>
  </si>
  <si>
    <t>GMPI Team increase</t>
  </si>
  <si>
    <t>NHS Employers Staffing (Band 8a and Band 4)</t>
  </si>
  <si>
    <t>Clinical Impact Awards Administrative Support (Band 6)</t>
  </si>
  <si>
    <t>Start position</t>
  </si>
  <si>
    <t xml:space="preserve">Closing Position </t>
  </si>
  <si>
    <t>PCC Sustainability Resource</t>
  </si>
  <si>
    <t xml:space="preserve">Final  allocation 2023-24 </t>
  </si>
  <si>
    <t>2023-24 Initial
HCHS Ring-Fenced Allocation</t>
  </si>
  <si>
    <t>Total Shared Services Top-Slice 2023-24</t>
  </si>
  <si>
    <t>Additional Cluster funding added 2023-24</t>
  </si>
  <si>
    <t>Summary: Unified Budget Allocations - Total HCHS, Drug Prescribing and Primary Care Contracts Resource Limit 2024-25</t>
  </si>
  <si>
    <t>2024-25 Recurrent HCHS and Prescribing Discretionary Allocation</t>
  </si>
  <si>
    <t>2024-25 HCHS Ring Fenced Allocation</t>
  </si>
  <si>
    <t>2024-25 Directed Expenditure</t>
  </si>
  <si>
    <t>Total 2024-25 HCHS and Prescribing Revenue Allocation</t>
  </si>
  <si>
    <t>2024-25 GMS Contract - Table C</t>
  </si>
  <si>
    <t>2024-25 Community Pharmacy Contract - Table E</t>
  </si>
  <si>
    <t>2024-25 Dental Contract - Table F</t>
  </si>
  <si>
    <t>Total Revenue Resource Limit 2024-25</t>
  </si>
  <si>
    <t>Table  A1: Hospital, Community and Health Services and Prescribing (HCHSP) - Discretionary Allocation for 2024-25- £ million</t>
  </si>
  <si>
    <t>Table A2: HCHSP Allocation 2024-25 Baseline Adjustments - (Column 2, Table A1)</t>
  </si>
  <si>
    <t>Table B1: HCHS Protected and Ring Fenced Revenue Allocations for 2024-25  £-million</t>
  </si>
  <si>
    <t>Total 2024-25 HCHS Ring Fenced Allocation (carried forward to Summary Table)</t>
  </si>
  <si>
    <t>2024-25 Closing Position</t>
  </si>
  <si>
    <t>Allocation for 2024-25</t>
  </si>
  <si>
    <t>Provisional allocation for 2024-25</t>
  </si>
  <si>
    <t>2024-25 Substance Misuse Ring-Fenced Funding</t>
  </si>
  <si>
    <t>2024-25 Total Mental Health Ring Fenced Allocation</t>
  </si>
  <si>
    <t>Total Shared Services Funding 2024-25</t>
  </si>
  <si>
    <t>Recurrent Adjustment 2024-25 (Table A2)</t>
  </si>
  <si>
    <t>2024-25 allocation</t>
  </si>
  <si>
    <t>In year: Revised 23-24 Cost Uplift Factor (CUF) England</t>
  </si>
  <si>
    <t>Funding for Planned and Unscheduled Care Sustainability for 23-24 onwards</t>
  </si>
  <si>
    <t>MSK Orthopaedic funding</t>
  </si>
  <si>
    <t>In year:  Service Transfer for Local Public Health Teams (LPHTs)</t>
  </si>
  <si>
    <t>In year: Fluenz Vaccination (transfer from GMS)</t>
  </si>
  <si>
    <t>In year: Historical CHC baseline - supplementary adjustment</t>
  </si>
  <si>
    <t>H Dda: Removal of Low Vision hosted funding</t>
  </si>
  <si>
    <t>In year:  Innovation funding (RIIC Hubs)</t>
  </si>
  <si>
    <t>British Transplant Games funding</t>
  </si>
  <si>
    <t>In year: North Wales Dental Academy</t>
  </si>
  <si>
    <t>A Bevan: removed 111 funding</t>
  </si>
  <si>
    <t>Adjustment to RIF</t>
  </si>
  <si>
    <t>In year: HPV funding</t>
  </si>
  <si>
    <t>2022-23 Core Uplift</t>
  </si>
  <si>
    <t>Core uplift 2023-24</t>
  </si>
  <si>
    <t>2022-23 pay uplift (including Holiday Pay on Overtime and 2021-22 RLW Bands 1 and 2)</t>
  </si>
  <si>
    <t>Certificate of Vision Impairment</t>
  </si>
  <si>
    <t>Opening position</t>
  </si>
  <si>
    <t>In year funding: 23-24 agreed uplift CPCF</t>
  </si>
  <si>
    <t>Early Retirement Provision (ERP) funding</t>
  </si>
  <si>
    <t>Powys: ERP</t>
  </si>
  <si>
    <t>TUPE of All Wales Pharmacist Post (MF) from Swansea Bay</t>
  </si>
  <si>
    <t>111 funding: Joint Commissioning Committee (transfer from A Bevan)</t>
  </si>
  <si>
    <t>Bereavement funding</t>
  </si>
  <si>
    <t>Changes to Depreciation funding</t>
  </si>
  <si>
    <t>Recruitment Post to TUPE back to Swansea Bay (ML)</t>
  </si>
  <si>
    <t>£837k Removed, to NWSSP</t>
  </si>
  <si>
    <t>In year: Revised 23-24 Cost Uplift Factor (CUF) England WHSSC</t>
  </si>
  <si>
    <t>In year: Low Vision Hosted funding (supplementary adjustment to B2 Baseline adjustment of £0.837m)</t>
  </si>
  <si>
    <t>Further Faster funding</t>
  </si>
  <si>
    <t>Primary Care Development funding (SPPC) to NHS Executive</t>
  </si>
  <si>
    <t>111 Service (supplementary adjustment to B2 Baseline adjustment)</t>
  </si>
  <si>
    <t>£15.267m removed</t>
  </si>
  <si>
    <t>£0.085m To NHS Executive (SPPC)</t>
  </si>
  <si>
    <t>£0.080m To NHS Executive (SPPC)</t>
  </si>
  <si>
    <t>Neighbourhood District Nursing: Peer coaches/Nurse Advocates</t>
  </si>
  <si>
    <t xml:space="preserve">Palliative care/ Bereavement/ Hospice funding </t>
  </si>
  <si>
    <t>Hospice funding</t>
  </si>
  <si>
    <t>£4.529m To NHS Executive (6 goals UEC)</t>
  </si>
  <si>
    <t>A Bevan: removed 6 goals (UEC Budget) funding</t>
  </si>
  <si>
    <t>Table 4 - Depreciation Funding Adjustment</t>
  </si>
  <si>
    <t>These are the funds the organisations receive from others and / or retain for themselves to fund their provider depreciation charges</t>
  </si>
  <si>
    <t>Commissioner &gt; 
Provider           v</t>
  </si>
  <si>
    <t>(ABMU) now SBU</t>
  </si>
  <si>
    <t xml:space="preserve">Bridgend </t>
  </si>
  <si>
    <t>Aneurin Bevan</t>
  </si>
  <si>
    <t>BCU</t>
  </si>
  <si>
    <t>Cardiff and Vale U</t>
  </si>
  <si>
    <t>Cwm Taf</t>
  </si>
  <si>
    <t>Hywel Dda</t>
  </si>
  <si>
    <t>Powys</t>
  </si>
  <si>
    <t>SIFT</t>
  </si>
  <si>
    <t>Postgrad Dean</t>
  </si>
  <si>
    <t>R&amp;D</t>
  </si>
  <si>
    <t>PHLS</t>
  </si>
  <si>
    <t xml:space="preserve">Other  </t>
  </si>
  <si>
    <t>Velindre</t>
  </si>
  <si>
    <t>NWSSP</t>
  </si>
  <si>
    <t>WAST</t>
  </si>
  <si>
    <t>PHW</t>
  </si>
  <si>
    <t>Depreciation</t>
  </si>
  <si>
    <t>Non-WHSSC</t>
  </si>
  <si>
    <t>ABMU</t>
  </si>
  <si>
    <r>
      <t xml:space="preserve">12-13 Allocation </t>
    </r>
    <r>
      <rPr>
        <b/>
        <sz val="10"/>
        <rFont val="Arial"/>
        <family val="2"/>
      </rPr>
      <t>(adj 19/20 Bridgend)</t>
    </r>
  </si>
  <si>
    <t>13-14 Baseline adjustments:</t>
  </si>
  <si>
    <t>Velindre resource mapping adjustment</t>
  </si>
  <si>
    <t>PHWT Removal of Savings from 2012/13 DV exercise</t>
  </si>
  <si>
    <t>Velindre Removal of Savings from 2012/13 DV exercise</t>
  </si>
  <si>
    <t>LHB Removal of Savings from 2012/13 DV exercise</t>
  </si>
  <si>
    <r>
      <t xml:space="preserve">13-14 Baseline allocation </t>
    </r>
    <r>
      <rPr>
        <b/>
        <sz val="10"/>
        <rFont val="Arial"/>
        <family val="2"/>
      </rPr>
      <t>(adj 19/20 Bridgend)</t>
    </r>
  </si>
  <si>
    <t>14-15 Baseline adjustments:</t>
  </si>
  <si>
    <t>LHB Baseline &amp; Approved Strategic adjustment</t>
  </si>
  <si>
    <t>Velindre Baseline &amp; Approved Strategic adjustment</t>
  </si>
  <si>
    <t>NWIS Baseline &amp; Approved Strategic adjustment</t>
  </si>
  <si>
    <t>NWSSP Baseline &amp; Approved Strategic adjustment</t>
  </si>
  <si>
    <t>PHW Baseline &amp; Approved Strategic adjustment</t>
  </si>
  <si>
    <r>
      <t xml:space="preserve">2015-16 Baseline allocation </t>
    </r>
    <r>
      <rPr>
        <b/>
        <sz val="10"/>
        <rFont val="Arial"/>
        <family val="2"/>
      </rPr>
      <t>(adj 19/20 Bridgend)</t>
    </r>
  </si>
  <si>
    <r>
      <t xml:space="preserve">2016-17 &amp; 2017-18 No Adjustments </t>
    </r>
    <r>
      <rPr>
        <b/>
        <sz val="10"/>
        <rFont val="Arial"/>
        <family val="2"/>
      </rPr>
      <t>(adj 19/20 Bridgend)</t>
    </r>
  </si>
  <si>
    <t>2018-19 Baseline adjustments:</t>
  </si>
  <si>
    <r>
      <t xml:space="preserve">2018-19 Baseline allocation </t>
    </r>
    <r>
      <rPr>
        <b/>
        <sz val="10"/>
        <rFont val="Arial"/>
        <family val="2"/>
      </rPr>
      <t>(adj 19/20 Bridgend)</t>
    </r>
  </si>
  <si>
    <t>21-22 HEIW Baseline Allocation</t>
  </si>
  <si>
    <t>2022-23 Baseline allocation</t>
  </si>
  <si>
    <t>No changes 22-23</t>
  </si>
  <si>
    <t>23/24 adjustments HB</t>
  </si>
  <si>
    <t>23/24 adjustments DHCW</t>
  </si>
  <si>
    <t>23/24 adjustments NWSSP</t>
  </si>
  <si>
    <t>23/24 adjustments VT</t>
  </si>
  <si>
    <t>23/24 adjustments PHW</t>
  </si>
  <si>
    <t>23/24 adjustments WAST</t>
  </si>
  <si>
    <t>23/24 adjustments HEIW</t>
  </si>
  <si>
    <t>2023-24 Baseline allocation</t>
  </si>
  <si>
    <t>WHSSC</t>
  </si>
  <si>
    <t>Velindre (Removal of Savings from 2012/13 DV Exercise)</t>
  </si>
  <si>
    <t>WAST (Additional Funding Req'd from 2012/13 DV Exercise)</t>
  </si>
  <si>
    <t>WAST Baseline &amp; Approved Strategic adjustment</t>
  </si>
  <si>
    <t>2017-18 and 2018-19 No Adjustments</t>
  </si>
  <si>
    <r>
      <t>2018-19 Baseline allocation</t>
    </r>
    <r>
      <rPr>
        <b/>
        <sz val="10"/>
        <rFont val="Arial"/>
        <family val="2"/>
      </rPr>
      <t xml:space="preserve"> (adj 19/20 Bridgend)</t>
    </r>
  </si>
  <si>
    <t>No changes between 2022-23 and 2023-24</t>
  </si>
  <si>
    <t>Total 2024-25 Baseline Allocation</t>
  </si>
  <si>
    <t>NWIS became DHCW in 2022-23</t>
  </si>
  <si>
    <t>Total HBs</t>
  </si>
  <si>
    <t>Total Trusts</t>
  </si>
  <si>
    <t>Total SHAs</t>
  </si>
  <si>
    <t>To NHS Exec (SPPC)</t>
  </si>
  <si>
    <t>(Memorandum table only)</t>
  </si>
  <si>
    <t>C&amp;V: GPW lease funding added</t>
  </si>
  <si>
    <t xml:space="preserve">Further Faster </t>
  </si>
  <si>
    <t xml:space="preserve">In year: Revised 23-24 Cost Uplift Factor (CUF) England C19 </t>
  </si>
  <si>
    <t>Additional MH funding (Table 2)</t>
  </si>
  <si>
    <t>NHS Exec baseline adjustment</t>
  </si>
  <si>
    <t>In year: HB realignment transfers</t>
  </si>
  <si>
    <t>Planned Care Funding</t>
  </si>
  <si>
    <t>Optometry contract reform funding (over and above 22-23 audited spend)</t>
  </si>
  <si>
    <t>Conditionally Recurrent funding: 23-24 underlying deficit contribution</t>
  </si>
  <si>
    <t>Conditionally Recurrent funding: 23-24 Inflationary increase</t>
  </si>
  <si>
    <t>Energy baseline funding</t>
  </si>
  <si>
    <t>Organisation specific adjustment - further 1 year agreement for 24-25</t>
  </si>
  <si>
    <t>2023-24 Substance Misuse Ring-Fenced Funding</t>
  </si>
  <si>
    <t>Adjusted as per letter from Alex Slade</t>
  </si>
  <si>
    <t xml:space="preserve"> Pay Mapping TBC</t>
  </si>
  <si>
    <t>Genomics Partnership Wales lease funding</t>
  </si>
  <si>
    <t>Energy baseline funding: Velindre NHS Trust (as per Velindre % shares)</t>
  </si>
  <si>
    <t>Energy baseline funding: WAST (as per WAST % shares)</t>
  </si>
  <si>
    <t>Increased demand for Sterile Medicines : top slice and funding to NWSSP</t>
  </si>
  <si>
    <t xml:space="preserve">In year: Allied Health Professionals (AHPs) </t>
  </si>
  <si>
    <t>C19 iro Health Protection / Vaccination and PPE.</t>
  </si>
  <si>
    <t>C19 - Adferiad (Long COVID)</t>
  </si>
  <si>
    <t>Core Cost and Demand Uplift for 2024-25</t>
  </si>
  <si>
    <t>Table A3: Additional 2024-25 Recurrent Funding - (Column 3, Table A1)</t>
  </si>
  <si>
    <t>Amounts in the table below have been increased (Core Uplift applied to Table A3)</t>
  </si>
  <si>
    <t>Recurrent impact of funding for Planned Care Recovery</t>
  </si>
  <si>
    <t>A Bevan: removed National AHP Lead (SPPC) to NHS Executive</t>
  </si>
  <si>
    <t>A Bevan: removed National Nursing Lead for P Care (SPPC) to NHS Executive</t>
  </si>
  <si>
    <t xml:space="preserve"> Provisional allocation 2023-24</t>
  </si>
  <si>
    <t>In year: Global Sum / PSP List Size Increase 2023-24</t>
  </si>
  <si>
    <t>Provisional Allocation           2023-24</t>
  </si>
  <si>
    <t>In year allocation: 23-24 Pay Uplift</t>
  </si>
  <si>
    <t>2024-25 Core Cost and Demand Uplift (3.67%)</t>
  </si>
  <si>
    <t>In year change: EASC/WAST Improvements in Mental Health Emergency Calls</t>
  </si>
  <si>
    <t>CAMHS Youth Offending Teams (YOTS) / FACTS - Transfer to WHSSC</t>
  </si>
  <si>
    <t>CAMHS Parc Prison In-reach Services - Transfer to WHSSC</t>
  </si>
  <si>
    <t xml:space="preserve">Core Cost and Demand Uplift (3.67%) 2024-25 </t>
  </si>
  <si>
    <t>2024-25 Final HCHS Ring Fenced Allocation</t>
  </si>
  <si>
    <t>Table 3 - Shared Services Funding / Top Slice</t>
  </si>
  <si>
    <t>Phase 3 of the NWSSP Single Lead Employer Expansion Programme</t>
  </si>
  <si>
    <t>Low Vision Service (from Hywel Dda UHB)</t>
  </si>
  <si>
    <t>Sterile Medicines Production Unit (Topslice from HBs)</t>
  </si>
  <si>
    <t xml:space="preserve">SBU Procurement Posts </t>
  </si>
  <si>
    <t xml:space="preserve">Energy </t>
  </si>
  <si>
    <t>C19 Baseline Funding</t>
  </si>
  <si>
    <t>23-24 Pay Costs TBC</t>
  </si>
  <si>
    <t>Table 5: Recurrent Primary Care Development Funding (Already in Discretionary Baseline  - not additional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</si>
</sst>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.000;\(#,##0.000\);\-"/>
    <numFmt numFmtId="165" formatCode="#,##0;\(#,##0\);\-"/>
    <numFmt numFmtId="166" formatCode="0.000"/>
    <numFmt numFmtId="167" formatCode="#,##0.000;\(#,##0.000\)"/>
    <numFmt numFmtId="168" formatCode="_-* #,##0_-;\-* #,##0_-;_-* &quot;-&quot;??_-;_-@_-"/>
    <numFmt numFmtId="169" formatCode="_-* #,##0.000_-;\-* #,##0.000_-;_-* &quot;-&quot;??_-;_-@_-"/>
    <numFmt numFmtId="170" formatCode="&quot;£&quot;#,##0.000"/>
    <numFmt numFmtId="171" formatCode="0.0%"/>
    <numFmt numFmtId="172" formatCode="#,##0.000"/>
    <numFmt numFmtId="173" formatCode="#,##0.000000000000000"/>
    <numFmt numFmtId="174" formatCode="_-* #,##0.0000_-;\-* #,##0.0000_-;_-* &quot;-&quot;??_-;_-@_-"/>
  </numFmts>
  <fonts count="49" x14ac:knownFonts="1">
    <font>
      <sz val="12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Verdana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26"/>
      <color indexed="10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6">
    <xf numFmtId="0" fontId="0" fillId="0" borderId="0"/>
    <xf numFmtId="0" fontId="15" fillId="0" borderId="0"/>
    <xf numFmtId="0" fontId="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/>
    <xf numFmtId="0" fontId="9" fillId="0" borderId="0"/>
    <xf numFmtId="0" fontId="6" fillId="0" borderId="0"/>
    <xf numFmtId="0" fontId="5" fillId="0" borderId="0"/>
    <xf numFmtId="0" fontId="4" fillId="23" borderId="7" applyNumberFormat="0" applyFont="0" applyAlignment="0" applyProtection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40" fontId="33" fillId="24" borderId="0">
      <alignment horizontal="right"/>
    </xf>
    <xf numFmtId="0" fontId="34" fillId="24" borderId="0">
      <alignment horizontal="right"/>
    </xf>
    <xf numFmtId="0" fontId="35" fillId="24" borderId="9"/>
    <xf numFmtId="0" fontId="35" fillId="0" borderId="0" applyBorder="0">
      <alignment horizontal="centerContinuous"/>
    </xf>
    <xf numFmtId="0" fontId="36" fillId="25" borderId="10">
      <alignment horizontal="centerContinuous"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</cellStyleXfs>
  <cellXfs count="594">
    <xf numFmtId="0" fontId="0" fillId="0" borderId="0" xfId="0"/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12" xfId="0" applyNumberFormat="1" applyFont="1" applyBorder="1" applyAlignment="1">
      <alignment vertical="top"/>
    </xf>
    <xf numFmtId="164" fontId="8" fillId="0" borderId="0" xfId="0" applyNumberFormat="1" applyFont="1" applyAlignment="1">
      <alignment horizontal="centerContinuous" wrapText="1"/>
    </xf>
    <xf numFmtId="164" fontId="7" fillId="0" borderId="0" xfId="0" applyNumberFormat="1" applyFont="1"/>
    <xf numFmtId="0" fontId="7" fillId="0" borderId="0" xfId="0" applyFont="1" applyAlignment="1">
      <alignment horizontal="left" vertical="top"/>
    </xf>
    <xf numFmtId="165" fontId="7" fillId="0" borderId="13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Continuous" vertical="center" wrapText="1"/>
    </xf>
    <xf numFmtId="0" fontId="9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1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centerContinuous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" fontId="7" fillId="0" borderId="12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right" vertical="top" wrapText="1"/>
    </xf>
    <xf numFmtId="164" fontId="9" fillId="0" borderId="17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wrapText="1"/>
    </xf>
    <xf numFmtId="164" fontId="9" fillId="0" borderId="16" xfId="0" applyNumberFormat="1" applyFont="1" applyBorder="1" applyAlignment="1">
      <alignment horizontal="right" vertical="top" wrapText="1"/>
    </xf>
    <xf numFmtId="0" fontId="7" fillId="0" borderId="15" xfId="0" applyFont="1" applyBorder="1"/>
    <xf numFmtId="0" fontId="9" fillId="0" borderId="0" xfId="0" applyFont="1" applyAlignment="1">
      <alignment horizontal="right"/>
    </xf>
    <xf numFmtId="164" fontId="7" fillId="0" borderId="1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165" fontId="7" fillId="0" borderId="14" xfId="0" applyNumberFormat="1" applyFont="1" applyBorder="1"/>
    <xf numFmtId="0" fontId="12" fillId="0" borderId="0" xfId="0" applyFont="1" applyAlignment="1">
      <alignment horizontal="right"/>
    </xf>
    <xf numFmtId="164" fontId="7" fillId="0" borderId="19" xfId="0" applyNumberFormat="1" applyFont="1" applyBorder="1" applyAlignment="1">
      <alignment vertical="top"/>
    </xf>
    <xf numFmtId="1" fontId="10" fillId="0" borderId="14" xfId="0" applyNumberFormat="1" applyFont="1" applyBorder="1" applyAlignment="1">
      <alignment horizontal="left" vertical="center"/>
    </xf>
    <xf numFmtId="164" fontId="7" fillId="0" borderId="14" xfId="0" applyNumberFormat="1" applyFont="1" applyBorder="1" applyAlignment="1">
      <alignment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/>
    <xf numFmtId="165" fontId="4" fillId="0" borderId="0" xfId="0" applyNumberFormat="1" applyFont="1"/>
    <xf numFmtId="1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7" fillId="0" borderId="22" xfId="0" applyNumberFormat="1" applyFont="1" applyBorder="1" applyAlignment="1">
      <alignment horizontal="right" vertical="center" wrapText="1"/>
    </xf>
    <xf numFmtId="1" fontId="10" fillId="0" borderId="14" xfId="0" applyNumberFormat="1" applyFont="1" applyBorder="1" applyAlignment="1">
      <alignment horizontal="left" vertical="top"/>
    </xf>
    <xf numFmtId="0" fontId="11" fillId="0" borderId="0" xfId="0" applyFont="1" applyAlignment="1">
      <alignment horizontal="left"/>
    </xf>
    <xf numFmtId="164" fontId="7" fillId="0" borderId="10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vertical="center"/>
    </xf>
    <xf numFmtId="164" fontId="7" fillId="0" borderId="22" xfId="0" applyNumberFormat="1" applyFont="1" applyBorder="1"/>
    <xf numFmtId="0" fontId="7" fillId="0" borderId="23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top"/>
    </xf>
    <xf numFmtId="1" fontId="10" fillId="0" borderId="24" xfId="0" applyNumberFormat="1" applyFont="1" applyBorder="1" applyAlignment="1">
      <alignment horizontal="left" vertical="center"/>
    </xf>
    <xf numFmtId="166" fontId="7" fillId="26" borderId="25" xfId="0" applyNumberFormat="1" applyFont="1" applyFill="1" applyBorder="1" applyAlignment="1">
      <alignment horizontal="center" vertical="top" textRotation="180" wrapText="1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left" vertical="center"/>
    </xf>
    <xf numFmtId="164" fontId="7" fillId="0" borderId="17" xfId="0" applyNumberFormat="1" applyFont="1" applyBorder="1"/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27" borderId="29" xfId="0" applyFont="1" applyFill="1" applyBorder="1"/>
    <xf numFmtId="0" fontId="7" fillId="27" borderId="30" xfId="0" applyFont="1" applyFill="1" applyBorder="1"/>
    <xf numFmtId="0" fontId="7" fillId="27" borderId="31" xfId="0" applyFont="1" applyFill="1" applyBorder="1"/>
    <xf numFmtId="0" fontId="7" fillId="27" borderId="32" xfId="0" applyFont="1" applyFill="1" applyBorder="1"/>
    <xf numFmtId="0" fontId="7" fillId="27" borderId="33" xfId="0" applyFont="1" applyFill="1" applyBorder="1"/>
    <xf numFmtId="0" fontId="7" fillId="27" borderId="34" xfId="0" applyFont="1" applyFill="1" applyBorder="1"/>
    <xf numFmtId="166" fontId="14" fillId="0" borderId="10" xfId="0" applyNumberFormat="1" applyFont="1" applyBorder="1" applyAlignment="1">
      <alignment horizontal="center" vertical="top" wrapText="1"/>
    </xf>
    <xf numFmtId="164" fontId="7" fillId="26" borderId="35" xfId="0" applyNumberFormat="1" applyFont="1" applyFill="1" applyBorder="1" applyAlignment="1">
      <alignment horizontal="center" vertical="top" wrapText="1"/>
    </xf>
    <xf numFmtId="0" fontId="7" fillId="26" borderId="36" xfId="0" applyFont="1" applyFill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right" vertical="top" wrapText="1"/>
    </xf>
    <xf numFmtId="164" fontId="7" fillId="0" borderId="38" xfId="0" applyNumberFormat="1" applyFont="1" applyBorder="1" applyAlignment="1">
      <alignment horizontal="right" vertical="top" wrapText="1"/>
    </xf>
    <xf numFmtId="167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167" fontId="10" fillId="0" borderId="2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164" fontId="7" fillId="0" borderId="35" xfId="0" applyNumberFormat="1" applyFont="1" applyBorder="1" applyAlignment="1">
      <alignment horizontal="right" wrapText="1"/>
    </xf>
    <xf numFmtId="0" fontId="7" fillId="0" borderId="19" xfId="0" applyFont="1" applyBorder="1" applyAlignment="1">
      <alignment vertical="center"/>
    </xf>
    <xf numFmtId="165" fontId="7" fillId="0" borderId="40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right" vertical="top" wrapText="1"/>
    </xf>
    <xf numFmtId="164" fontId="7" fillId="0" borderId="24" xfId="0" applyNumberFormat="1" applyFont="1" applyBorder="1" applyAlignment="1">
      <alignment vertical="top"/>
    </xf>
    <xf numFmtId="164" fontId="9" fillId="0" borderId="26" xfId="0" applyNumberFormat="1" applyFont="1" applyBorder="1" applyAlignment="1">
      <alignment horizontal="right" wrapText="1"/>
    </xf>
    <xf numFmtId="164" fontId="9" fillId="0" borderId="39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center" wrapText="1"/>
    </xf>
    <xf numFmtId="1" fontId="10" fillId="0" borderId="20" xfId="0" applyNumberFormat="1" applyFont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left" vertical="top" wrapText="1"/>
    </xf>
    <xf numFmtId="10" fontId="10" fillId="0" borderId="39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top" wrapText="1"/>
    </xf>
    <xf numFmtId="167" fontId="7" fillId="0" borderId="16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right" vertical="center" wrapText="1"/>
    </xf>
    <xf numFmtId="164" fontId="7" fillId="0" borderId="41" xfId="0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8" xfId="0" applyFont="1" applyBorder="1" applyAlignment="1">
      <alignment vertical="center"/>
    </xf>
    <xf numFmtId="164" fontId="7" fillId="0" borderId="0" xfId="45" applyNumberFormat="1" applyFont="1"/>
    <xf numFmtId="0" fontId="6" fillId="0" borderId="0" xfId="45"/>
    <xf numFmtId="0" fontId="7" fillId="0" borderId="12" xfId="45" applyFont="1" applyBorder="1" applyAlignment="1">
      <alignment vertical="center"/>
    </xf>
    <xf numFmtId="0" fontId="9" fillId="0" borderId="12" xfId="45" applyFont="1" applyBorder="1" applyAlignment="1">
      <alignment vertical="center"/>
    </xf>
    <xf numFmtId="0" fontId="9" fillId="0" borderId="24" xfId="45" applyFont="1" applyBorder="1" applyAlignment="1">
      <alignment vertical="center"/>
    </xf>
    <xf numFmtId="0" fontId="10" fillId="0" borderId="0" xfId="45" applyFont="1"/>
    <xf numFmtId="0" fontId="9" fillId="0" borderId="0" xfId="0" applyFont="1" applyAlignment="1">
      <alignment wrapText="1"/>
    </xf>
    <xf numFmtId="0" fontId="9" fillId="0" borderId="31" xfId="0" applyFont="1" applyBorder="1" applyAlignment="1">
      <alignment wrapText="1"/>
    </xf>
    <xf numFmtId="2" fontId="7" fillId="0" borderId="0" xfId="0" applyNumberFormat="1" applyFont="1"/>
    <xf numFmtId="2" fontId="9" fillId="0" borderId="0" xfId="0" applyNumberFormat="1" applyFont="1"/>
    <xf numFmtId="168" fontId="7" fillId="0" borderId="42" xfId="30" applyNumberFormat="1" applyFont="1" applyBorder="1"/>
    <xf numFmtId="0" fontId="9" fillId="0" borderId="27" xfId="0" applyFont="1" applyBorder="1" applyAlignment="1">
      <alignment wrapText="1"/>
    </xf>
    <xf numFmtId="164" fontId="7" fillId="0" borderId="43" xfId="0" applyNumberFormat="1" applyFont="1" applyBorder="1" applyAlignment="1">
      <alignment horizontal="right" wrapText="1"/>
    </xf>
    <xf numFmtId="164" fontId="10" fillId="26" borderId="43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top" wrapText="1"/>
    </xf>
    <xf numFmtId="164" fontId="7" fillId="0" borderId="17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2" fillId="0" borderId="17" xfId="0" applyNumberFormat="1" applyFont="1" applyBorder="1" applyAlignment="1">
      <alignment horizontal="right" vertical="top" wrapText="1"/>
    </xf>
    <xf numFmtId="0" fontId="7" fillId="0" borderId="45" xfId="45" applyFont="1" applyBorder="1" applyAlignment="1">
      <alignment vertical="center"/>
    </xf>
    <xf numFmtId="164" fontId="7" fillId="0" borderId="35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7" fontId="7" fillId="0" borderId="0" xfId="0" applyNumberFormat="1" applyFont="1"/>
    <xf numFmtId="167" fontId="7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43" xfId="0" applyNumberFormat="1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right" vertical="center" wrapText="1"/>
    </xf>
    <xf numFmtId="167" fontId="10" fillId="0" borderId="46" xfId="0" applyNumberFormat="1" applyFont="1" applyBorder="1" applyAlignment="1">
      <alignment horizontal="center" vertical="center"/>
    </xf>
    <xf numFmtId="0" fontId="0" fillId="0" borderId="47" xfId="0" applyBorder="1"/>
    <xf numFmtId="0" fontId="7" fillId="0" borderId="47" xfId="0" applyFont="1" applyBorder="1"/>
    <xf numFmtId="0" fontId="7" fillId="0" borderId="16" xfId="0" applyFont="1" applyBorder="1" applyAlignment="1">
      <alignment horizontal="center" vertical="top" wrapText="1"/>
    </xf>
    <xf numFmtId="0" fontId="7" fillId="0" borderId="47" xfId="45" applyFont="1" applyBorder="1" applyAlignment="1">
      <alignment vertical="center"/>
    </xf>
    <xf numFmtId="168" fontId="7" fillId="0" borderId="48" xfId="30" applyNumberFormat="1" applyFont="1" applyBorder="1"/>
    <xf numFmtId="0" fontId="9" fillId="0" borderId="49" xfId="0" applyFont="1" applyBorder="1"/>
    <xf numFmtId="0" fontId="7" fillId="0" borderId="47" xfId="0" applyFont="1" applyBorder="1" applyAlignment="1">
      <alignment vertical="center"/>
    </xf>
    <xf numFmtId="164" fontId="9" fillId="0" borderId="43" xfId="0" applyNumberFormat="1" applyFont="1" applyBorder="1" applyAlignment="1">
      <alignment horizontal="right" wrapText="1"/>
    </xf>
    <xf numFmtId="0" fontId="37" fillId="0" borderId="0" xfId="0" applyFont="1"/>
    <xf numFmtId="0" fontId="7" fillId="26" borderId="43" xfId="0" applyFont="1" applyFill="1" applyBorder="1" applyAlignment="1">
      <alignment horizontal="center" vertical="top" wrapText="1"/>
    </xf>
    <xf numFmtId="1" fontId="10" fillId="0" borderId="39" xfId="0" applyNumberFormat="1" applyFont="1" applyBorder="1" applyAlignment="1">
      <alignment horizontal="left" vertical="center"/>
    </xf>
    <xf numFmtId="164" fontId="7" fillId="0" borderId="43" xfId="0" applyNumberFormat="1" applyFont="1" applyBorder="1" applyAlignment="1">
      <alignment vertical="center"/>
    </xf>
    <xf numFmtId="167" fontId="10" fillId="28" borderId="46" xfId="0" applyNumberFormat="1" applyFont="1" applyFill="1" applyBorder="1" applyAlignment="1">
      <alignment horizontal="center" vertical="center"/>
    </xf>
    <xf numFmtId="0" fontId="0" fillId="28" borderId="47" xfId="0" applyFill="1" applyBorder="1"/>
    <xf numFmtId="164" fontId="7" fillId="29" borderId="17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center" wrapText="1"/>
    </xf>
    <xf numFmtId="166" fontId="14" fillId="0" borderId="39" xfId="0" applyNumberFormat="1" applyFont="1" applyBorder="1" applyAlignment="1">
      <alignment horizontal="center" vertical="top" wrapText="1"/>
    </xf>
    <xf numFmtId="167" fontId="7" fillId="0" borderId="47" xfId="0" applyNumberFormat="1" applyFont="1" applyBorder="1" applyAlignment="1">
      <alignment horizontal="right" vertical="center" wrapText="1"/>
    </xf>
    <xf numFmtId="167" fontId="9" fillId="0" borderId="47" xfId="0" applyNumberFormat="1" applyFont="1" applyBorder="1" applyAlignment="1">
      <alignment horizontal="right" vertical="center" wrapText="1"/>
    </xf>
    <xf numFmtId="164" fontId="7" fillId="0" borderId="43" xfId="0" applyNumberFormat="1" applyFont="1" applyBorder="1" applyAlignment="1">
      <alignment horizontal="right" vertical="top" wrapText="1"/>
    </xf>
    <xf numFmtId="166" fontId="7" fillId="0" borderId="52" xfId="30" applyNumberFormat="1" applyFont="1" applyBorder="1"/>
    <xf numFmtId="166" fontId="9" fillId="0" borderId="52" xfId="30" applyNumberFormat="1" applyFont="1" applyBorder="1"/>
    <xf numFmtId="166" fontId="7" fillId="0" borderId="12" xfId="30" applyNumberFormat="1" applyFont="1" applyBorder="1"/>
    <xf numFmtId="166" fontId="9" fillId="0" borderId="12" xfId="30" applyNumberFormat="1" applyFont="1" applyBorder="1"/>
    <xf numFmtId="0" fontId="9" fillId="0" borderId="33" xfId="0" applyFont="1" applyBorder="1"/>
    <xf numFmtId="164" fontId="7" fillId="30" borderId="10" xfId="0" applyNumberFormat="1" applyFont="1" applyFill="1" applyBorder="1" applyAlignment="1">
      <alignment horizontal="right" vertical="center" wrapText="1"/>
    </xf>
    <xf numFmtId="164" fontId="7" fillId="30" borderId="22" xfId="0" applyNumberFormat="1" applyFont="1" applyFill="1" applyBorder="1" applyAlignment="1">
      <alignment horizontal="right" vertical="center" wrapText="1"/>
    </xf>
    <xf numFmtId="166" fontId="7" fillId="0" borderId="48" xfId="0" applyNumberFormat="1" applyFont="1" applyBorder="1"/>
    <xf numFmtId="168" fontId="7" fillId="0" borderId="0" xfId="30" applyNumberFormat="1" applyFont="1" applyFill="1"/>
    <xf numFmtId="168" fontId="9" fillId="0" borderId="0" xfId="30" applyNumberFormat="1" applyFont="1" applyFill="1"/>
    <xf numFmtId="168" fontId="9" fillId="0" borderId="0" xfId="30" applyNumberFormat="1" applyFont="1"/>
    <xf numFmtId="166" fontId="7" fillId="26" borderId="43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26" borderId="56" xfId="0" applyFont="1" applyFill="1" applyBorder="1" applyAlignment="1">
      <alignment horizontal="center" vertical="top" wrapText="1"/>
    </xf>
    <xf numFmtId="164" fontId="7" fillId="0" borderId="24" xfId="0" applyNumberFormat="1" applyFont="1" applyBorder="1" applyAlignment="1">
      <alignment horizontal="center" vertical="top" wrapText="1"/>
    </xf>
    <xf numFmtId="167" fontId="7" fillId="26" borderId="26" xfId="0" applyNumberFormat="1" applyFont="1" applyFill="1" applyBorder="1" applyAlignment="1">
      <alignment horizontal="center" vertical="top" wrapText="1"/>
    </xf>
    <xf numFmtId="167" fontId="7" fillId="26" borderId="39" xfId="0" applyNumberFormat="1" applyFont="1" applyFill="1" applyBorder="1" applyAlignment="1">
      <alignment horizontal="center" vertical="top" wrapText="1"/>
    </xf>
    <xf numFmtId="0" fontId="9" fillId="0" borderId="49" xfId="0" applyFont="1" applyBorder="1" applyAlignment="1">
      <alignment wrapText="1"/>
    </xf>
    <xf numFmtId="0" fontId="9" fillId="0" borderId="51" xfId="0" applyFont="1" applyBorder="1"/>
    <xf numFmtId="0" fontId="7" fillId="0" borderId="14" xfId="0" applyFont="1" applyBorder="1" applyAlignment="1">
      <alignment horizontal="center"/>
    </xf>
    <xf numFmtId="167" fontId="7" fillId="26" borderId="46" xfId="0" applyNumberFormat="1" applyFont="1" applyFill="1" applyBorder="1" applyAlignment="1">
      <alignment horizontal="center" vertical="top" wrapText="1"/>
    </xf>
    <xf numFmtId="0" fontId="7" fillId="0" borderId="51" xfId="0" applyFont="1" applyBorder="1" applyAlignment="1">
      <alignment horizontal="center"/>
    </xf>
    <xf numFmtId="0" fontId="7" fillId="26" borderId="4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166" fontId="7" fillId="30" borderId="25" xfId="0" applyNumberFormat="1" applyFont="1" applyFill="1" applyBorder="1" applyAlignment="1">
      <alignment horizontal="center" vertical="top" textRotation="180" wrapText="1"/>
    </xf>
    <xf numFmtId="164" fontId="10" fillId="30" borderId="44" xfId="0" applyNumberFormat="1" applyFont="1" applyFill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164" fontId="7" fillId="0" borderId="42" xfId="30" applyNumberFormat="1" applyFont="1" applyBorder="1"/>
    <xf numFmtId="0" fontId="8" fillId="0" borderId="0" xfId="0" applyFont="1"/>
    <xf numFmtId="0" fontId="7" fillId="0" borderId="60" xfId="0" applyFont="1" applyBorder="1"/>
    <xf numFmtId="0" fontId="7" fillId="0" borderId="61" xfId="0" applyFont="1" applyBorder="1"/>
    <xf numFmtId="167" fontId="7" fillId="26" borderId="53" xfId="0" applyNumberFormat="1" applyFont="1" applyFill="1" applyBorder="1" applyAlignment="1">
      <alignment horizontal="center" vertical="top" wrapText="1"/>
    </xf>
    <xf numFmtId="167" fontId="10" fillId="0" borderId="54" xfId="0" applyNumberFormat="1" applyFont="1" applyBorder="1" applyAlignment="1">
      <alignment horizontal="center" vertical="center"/>
    </xf>
    <xf numFmtId="167" fontId="7" fillId="0" borderId="53" xfId="0" applyNumberFormat="1" applyFont="1" applyBorder="1" applyAlignment="1">
      <alignment horizontal="center" vertical="center"/>
    </xf>
    <xf numFmtId="167" fontId="7" fillId="0" borderId="53" xfId="0" applyNumberFormat="1" applyFont="1" applyBorder="1" applyAlignment="1">
      <alignment horizontal="right" vertical="center" wrapText="1"/>
    </xf>
    <xf numFmtId="167" fontId="9" fillId="0" borderId="53" xfId="0" applyNumberFormat="1" applyFont="1" applyBorder="1" applyAlignment="1">
      <alignment horizontal="right" vertical="center" wrapText="1"/>
    </xf>
    <xf numFmtId="167" fontId="9" fillId="0" borderId="62" xfId="0" applyNumberFormat="1" applyFont="1" applyBorder="1" applyAlignment="1">
      <alignment vertical="center"/>
    </xf>
    <xf numFmtId="164" fontId="7" fillId="0" borderId="61" xfId="0" applyNumberFormat="1" applyFont="1" applyBorder="1" applyAlignment="1">
      <alignment horizontal="right" vertical="center" wrapText="1"/>
    </xf>
    <xf numFmtId="164" fontId="9" fillId="0" borderId="0" xfId="0" applyNumberFormat="1" applyFont="1"/>
    <xf numFmtId="165" fontId="7" fillId="31" borderId="13" xfId="0" applyNumberFormat="1" applyFont="1" applyFill="1" applyBorder="1" applyAlignment="1">
      <alignment horizontal="center"/>
    </xf>
    <xf numFmtId="164" fontId="10" fillId="26" borderId="64" xfId="0" applyNumberFormat="1" applyFont="1" applyFill="1" applyBorder="1" applyAlignment="1">
      <alignment horizontal="center" vertical="top" wrapText="1"/>
    </xf>
    <xf numFmtId="166" fontId="12" fillId="0" borderId="43" xfId="0" applyNumberFormat="1" applyFont="1" applyBorder="1" applyAlignment="1">
      <alignment horizontal="right" vertical="top" wrapText="1"/>
    </xf>
    <xf numFmtId="164" fontId="7" fillId="28" borderId="47" xfId="0" applyNumberFormat="1" applyFont="1" applyFill="1" applyBorder="1"/>
    <xf numFmtId="164" fontId="7" fillId="28" borderId="48" xfId="0" applyNumberFormat="1" applyFont="1" applyFill="1" applyBorder="1"/>
    <xf numFmtId="164" fontId="7" fillId="31" borderId="22" xfId="0" applyNumberFormat="1" applyFont="1" applyFill="1" applyBorder="1" applyAlignment="1">
      <alignment horizontal="right" vertical="center" wrapText="1"/>
    </xf>
    <xf numFmtId="167" fontId="7" fillId="31" borderId="38" xfId="0" applyNumberFormat="1" applyFont="1" applyFill="1" applyBorder="1" applyAlignment="1">
      <alignment horizontal="center" vertical="top" wrapText="1"/>
    </xf>
    <xf numFmtId="170" fontId="7" fillId="0" borderId="0" xfId="0" applyNumberFormat="1" applyFont="1" applyAlignment="1">
      <alignment horizontal="center" wrapText="1"/>
    </xf>
    <xf numFmtId="0" fontId="37" fillId="30" borderId="0" xfId="0" applyFont="1" applyFill="1"/>
    <xf numFmtId="0" fontId="42" fillId="30" borderId="0" xfId="0" applyFont="1" applyFill="1"/>
    <xf numFmtId="0" fontId="7" fillId="0" borderId="21" xfId="0" applyFont="1" applyBorder="1" applyAlignment="1">
      <alignment horizontal="center"/>
    </xf>
    <xf numFmtId="0" fontId="9" fillId="0" borderId="65" xfId="0" applyFont="1" applyBorder="1"/>
    <xf numFmtId="167" fontId="7" fillId="30" borderId="39" xfId="0" applyNumberFormat="1" applyFont="1" applyFill="1" applyBorder="1" applyAlignment="1">
      <alignment horizontal="center" vertical="top" wrapText="1"/>
    </xf>
    <xf numFmtId="167" fontId="7" fillId="30" borderId="10" xfId="0" applyNumberFormat="1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center" vertical="top" wrapText="1"/>
    </xf>
    <xf numFmtId="0" fontId="7" fillId="30" borderId="39" xfId="0" applyFont="1" applyFill="1" applyBorder="1" applyAlignment="1">
      <alignment horizontal="center" vertical="top" wrapText="1"/>
    </xf>
    <xf numFmtId="0" fontId="0" fillId="30" borderId="0" xfId="0" applyFill="1"/>
    <xf numFmtId="166" fontId="7" fillId="0" borderId="12" xfId="30" applyNumberFormat="1" applyFont="1" applyFill="1" applyBorder="1"/>
    <xf numFmtId="166" fontId="7" fillId="0" borderId="52" xfId="30" applyNumberFormat="1" applyFont="1" applyFill="1" applyBorder="1"/>
    <xf numFmtId="166" fontId="9" fillId="0" borderId="12" xfId="30" applyNumberFormat="1" applyFont="1" applyFill="1" applyBorder="1"/>
    <xf numFmtId="166" fontId="9" fillId="0" borderId="52" xfId="30" applyNumberFormat="1" applyFont="1" applyFill="1" applyBorder="1"/>
    <xf numFmtId="166" fontId="9" fillId="0" borderId="24" xfId="30" applyNumberFormat="1" applyFont="1" applyFill="1" applyBorder="1"/>
    <xf numFmtId="166" fontId="9" fillId="0" borderId="63" xfId="30" applyNumberFormat="1" applyFont="1" applyFill="1" applyBorder="1"/>
    <xf numFmtId="164" fontId="7" fillId="0" borderId="37" xfId="0" applyNumberFormat="1" applyFont="1" applyBorder="1" applyAlignment="1">
      <alignment horizontal="right" vertical="top" wrapText="1"/>
    </xf>
    <xf numFmtId="0" fontId="7" fillId="0" borderId="67" xfId="45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67" fontId="7" fillId="0" borderId="68" xfId="0" applyNumberFormat="1" applyFont="1" applyBorder="1" applyAlignment="1">
      <alignment horizontal="right" vertical="center" wrapText="1"/>
    </xf>
    <xf numFmtId="165" fontId="7" fillId="31" borderId="13" xfId="0" applyNumberFormat="1" applyFont="1" applyFill="1" applyBorder="1" applyAlignment="1">
      <alignment horizontal="center" vertical="center"/>
    </xf>
    <xf numFmtId="165" fontId="7" fillId="31" borderId="40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69" fontId="7" fillId="0" borderId="12" xfId="30" applyNumberFormat="1" applyFont="1" applyFill="1" applyBorder="1"/>
    <xf numFmtId="164" fontId="9" fillId="0" borderId="12" xfId="30" applyNumberFormat="1" applyFont="1" applyFill="1" applyBorder="1"/>
    <xf numFmtId="164" fontId="7" fillId="0" borderId="12" xfId="30" applyNumberFormat="1" applyFont="1" applyFill="1" applyBorder="1"/>
    <xf numFmtId="164" fontId="9" fillId="0" borderId="12" xfId="30" applyNumberFormat="1" applyFont="1" applyBorder="1"/>
    <xf numFmtId="164" fontId="7" fillId="0" borderId="12" xfId="30" applyNumberFormat="1" applyFont="1" applyBorder="1"/>
    <xf numFmtId="164" fontId="7" fillId="0" borderId="19" xfId="30" applyNumberFormat="1" applyFont="1" applyBorder="1"/>
    <xf numFmtId="165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26" borderId="34" xfId="0" applyFont="1" applyFill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169" fontId="7" fillId="0" borderId="53" xfId="30" applyNumberFormat="1" applyFont="1" applyFill="1" applyBorder="1"/>
    <xf numFmtId="164" fontId="9" fillId="0" borderId="53" xfId="30" applyNumberFormat="1" applyFont="1" applyFill="1" applyBorder="1"/>
    <xf numFmtId="164" fontId="7" fillId="0" borderId="53" xfId="30" applyNumberFormat="1" applyFont="1" applyFill="1" applyBorder="1"/>
    <xf numFmtId="164" fontId="9" fillId="0" borderId="53" xfId="30" applyNumberFormat="1" applyFont="1" applyBorder="1"/>
    <xf numFmtId="164" fontId="7" fillId="0" borderId="68" xfId="30" applyNumberFormat="1" applyFont="1" applyBorder="1"/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7" fillId="31" borderId="39" xfId="0" applyNumberFormat="1" applyFont="1" applyFill="1" applyBorder="1" applyAlignment="1">
      <alignment horizontal="center" vertical="top" wrapText="1"/>
    </xf>
    <xf numFmtId="164" fontId="7" fillId="31" borderId="10" xfId="0" applyNumberFormat="1" applyFont="1" applyFill="1" applyBorder="1" applyAlignment="1">
      <alignment horizontal="right" vertical="center" wrapText="1"/>
    </xf>
    <xf numFmtId="167" fontId="43" fillId="0" borderId="16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167" fontId="7" fillId="31" borderId="16" xfId="0" applyNumberFormat="1" applyFont="1" applyFill="1" applyBorder="1" applyAlignment="1">
      <alignment horizontal="right" vertical="center" wrapText="1"/>
    </xf>
    <xf numFmtId="167" fontId="7" fillId="31" borderId="41" xfId="0" applyNumberFormat="1" applyFont="1" applyFill="1" applyBorder="1" applyAlignment="1">
      <alignment horizontal="right" vertical="center" wrapText="1"/>
    </xf>
    <xf numFmtId="165" fontId="7" fillId="0" borderId="21" xfId="0" applyNumberFormat="1" applyFont="1" applyBorder="1" applyAlignment="1">
      <alignment horizontal="center"/>
    </xf>
    <xf numFmtId="165" fontId="9" fillId="0" borderId="0" xfId="0" applyNumberFormat="1" applyFont="1"/>
    <xf numFmtId="164" fontId="44" fillId="0" borderId="18" xfId="0" applyNumberFormat="1" applyFont="1" applyBorder="1" applyAlignment="1">
      <alignment vertical="top" wrapText="1"/>
    </xf>
    <xf numFmtId="0" fontId="7" fillId="30" borderId="25" xfId="0" applyFont="1" applyFill="1" applyBorder="1" applyAlignment="1">
      <alignment horizontal="center" vertical="top" textRotation="180" wrapText="1"/>
    </xf>
    <xf numFmtId="10" fontId="10" fillId="0" borderId="26" xfId="0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0" fontId="5" fillId="0" borderId="0" xfId="0" applyFont="1"/>
    <xf numFmtId="16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164" fontId="7" fillId="0" borderId="39" xfId="0" applyNumberFormat="1" applyFont="1" applyBorder="1" applyAlignment="1">
      <alignment horizontal="center" wrapText="1"/>
    </xf>
    <xf numFmtId="164" fontId="7" fillId="0" borderId="52" xfId="0" applyNumberFormat="1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7" fillId="0" borderId="52" xfId="0" applyNumberFormat="1" applyFont="1" applyBorder="1" applyAlignment="1">
      <alignment horizontal="right" vertical="center" wrapText="1"/>
    </xf>
    <xf numFmtId="166" fontId="7" fillId="0" borderId="0" xfId="58" applyNumberFormat="1" applyFont="1" applyFill="1"/>
    <xf numFmtId="171" fontId="7" fillId="0" borderId="0" xfId="58" applyNumberFormat="1" applyFont="1" applyFill="1"/>
    <xf numFmtId="164" fontId="9" fillId="0" borderId="10" xfId="0" applyNumberFormat="1" applyFont="1" applyBorder="1" applyAlignment="1">
      <alignment vertical="top"/>
    </xf>
    <xf numFmtId="171" fontId="9" fillId="0" borderId="0" xfId="58" applyNumberFormat="1" applyFont="1" applyFill="1"/>
    <xf numFmtId="164" fontId="7" fillId="0" borderId="17" xfId="0" applyNumberFormat="1" applyFont="1" applyBorder="1" applyAlignment="1">
      <alignment vertical="top"/>
    </xf>
    <xf numFmtId="164" fontId="7" fillId="0" borderId="39" xfId="0" applyNumberFormat="1" applyFont="1" applyBorder="1" applyAlignment="1">
      <alignment horizontal="right" vertical="center" wrapText="1"/>
    </xf>
    <xf numFmtId="164" fontId="7" fillId="0" borderId="6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64" fontId="7" fillId="0" borderId="70" xfId="0" applyNumberFormat="1" applyFont="1" applyBorder="1" applyAlignment="1">
      <alignment horizontal="center" wrapText="1"/>
    </xf>
    <xf numFmtId="164" fontId="9" fillId="0" borderId="0" xfId="0" applyNumberFormat="1" applyFont="1" applyAlignment="1">
      <alignment horizontal="right"/>
    </xf>
    <xf numFmtId="0" fontId="9" fillId="32" borderId="0" xfId="0" applyFont="1" applyFill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2" xfId="0" applyFont="1" applyBorder="1" applyAlignment="1">
      <alignment horizontal="center" vertical="top" wrapText="1"/>
    </xf>
    <xf numFmtId="164" fontId="9" fillId="0" borderId="62" xfId="30" applyNumberFormat="1" applyFont="1" applyBorder="1"/>
    <xf numFmtId="164" fontId="7" fillId="0" borderId="61" xfId="30" applyNumberFormat="1" applyFont="1" applyBorder="1"/>
    <xf numFmtId="164" fontId="9" fillId="0" borderId="18" xfId="30" applyNumberFormat="1" applyFont="1" applyBorder="1"/>
    <xf numFmtId="164" fontId="9" fillId="0" borderId="58" xfId="30" applyNumberFormat="1" applyFont="1" applyBorder="1"/>
    <xf numFmtId="0" fontId="7" fillId="31" borderId="13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164" fontId="7" fillId="0" borderId="73" xfId="0" applyNumberFormat="1" applyFont="1" applyBorder="1" applyAlignment="1">
      <alignment horizontal="right" wrapText="1"/>
    </xf>
    <xf numFmtId="166" fontId="7" fillId="26" borderId="42" xfId="0" applyNumberFormat="1" applyFont="1" applyFill="1" applyBorder="1" applyAlignment="1">
      <alignment horizontal="center" vertical="top" wrapText="1"/>
    </xf>
    <xf numFmtId="164" fontId="7" fillId="0" borderId="42" xfId="0" applyNumberFormat="1" applyFont="1" applyBorder="1" applyAlignment="1">
      <alignment horizontal="right" wrapText="1"/>
    </xf>
    <xf numFmtId="0" fontId="0" fillId="0" borderId="69" xfId="0" applyBorder="1"/>
    <xf numFmtId="166" fontId="7" fillId="26" borderId="61" xfId="0" applyNumberFormat="1" applyFont="1" applyFill="1" applyBorder="1" applyAlignment="1">
      <alignment horizontal="center" vertical="top" wrapText="1"/>
    </xf>
    <xf numFmtId="172" fontId="7" fillId="31" borderId="0" xfId="0" applyNumberFormat="1" applyFont="1" applyFill="1"/>
    <xf numFmtId="0" fontId="7" fillId="31" borderId="0" xfId="0" applyFont="1" applyFill="1"/>
    <xf numFmtId="0" fontId="9" fillId="31" borderId="0" xfId="0" applyFont="1" applyFill="1"/>
    <xf numFmtId="172" fontId="9" fillId="31" borderId="0" xfId="0" applyNumberFormat="1" applyFont="1" applyFill="1"/>
    <xf numFmtId="173" fontId="9" fillId="31" borderId="0" xfId="0" applyNumberFormat="1" applyFont="1" applyFill="1"/>
    <xf numFmtId="166" fontId="7" fillId="31" borderId="0" xfId="0" applyNumberFormat="1" applyFont="1" applyFill="1"/>
    <xf numFmtId="0" fontId="0" fillId="31" borderId="0" xfId="0" applyFill="1"/>
    <xf numFmtId="172" fontId="9" fillId="0" borderId="0" xfId="0" applyNumberFormat="1" applyFont="1"/>
    <xf numFmtId="1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0" borderId="42" xfId="0" applyFont="1" applyBorder="1"/>
    <xf numFmtId="0" fontId="4" fillId="31" borderId="0" xfId="0" applyFont="1" applyFill="1"/>
    <xf numFmtId="1" fontId="10" fillId="0" borderId="75" xfId="45" applyNumberFormat="1" applyFont="1" applyBorder="1" applyAlignment="1">
      <alignment horizontal="left" vertical="top"/>
    </xf>
    <xf numFmtId="0" fontId="7" fillId="0" borderId="76" xfId="45" applyFont="1" applyBorder="1" applyAlignment="1">
      <alignment vertical="center"/>
    </xf>
    <xf numFmtId="0" fontId="9" fillId="0" borderId="76" xfId="45" applyFont="1" applyBorder="1" applyAlignment="1">
      <alignment vertical="center"/>
    </xf>
    <xf numFmtId="0" fontId="9" fillId="0" borderId="75" xfId="45" applyFont="1" applyBorder="1" applyAlignment="1">
      <alignment vertical="center"/>
    </xf>
    <xf numFmtId="0" fontId="7" fillId="0" borderId="77" xfId="45" applyFont="1" applyBorder="1" applyAlignment="1">
      <alignment vertical="center"/>
    </xf>
    <xf numFmtId="0" fontId="9" fillId="0" borderId="78" xfId="45" applyFont="1" applyBorder="1" applyAlignment="1">
      <alignment vertical="center"/>
    </xf>
    <xf numFmtId="0" fontId="7" fillId="31" borderId="40" xfId="0" applyFont="1" applyFill="1" applyBorder="1" applyAlignment="1">
      <alignment horizontal="center"/>
    </xf>
    <xf numFmtId="166" fontId="7" fillId="0" borderId="57" xfId="45" applyNumberFormat="1" applyFont="1" applyBorder="1" applyAlignment="1">
      <alignment vertical="center"/>
    </xf>
    <xf numFmtId="164" fontId="7" fillId="0" borderId="49" xfId="30" applyNumberFormat="1" applyFont="1" applyBorder="1"/>
    <xf numFmtId="169" fontId="7" fillId="0" borderId="10" xfId="30" applyNumberFormat="1" applyFont="1" applyFill="1" applyBorder="1"/>
    <xf numFmtId="164" fontId="7" fillId="0" borderId="10" xfId="30" applyNumberFormat="1" applyFont="1" applyFill="1" applyBorder="1"/>
    <xf numFmtId="164" fontId="7" fillId="0" borderId="10" xfId="30" applyNumberFormat="1" applyFont="1" applyBorder="1"/>
    <xf numFmtId="166" fontId="7" fillId="0" borderId="12" xfId="45" applyNumberFormat="1" applyFont="1" applyBorder="1" applyAlignment="1">
      <alignment vertical="center"/>
    </xf>
    <xf numFmtId="169" fontId="7" fillId="0" borderId="16" xfId="30" applyNumberFormat="1" applyFont="1" applyFill="1" applyBorder="1"/>
    <xf numFmtId="164" fontId="9" fillId="0" borderId="16" xfId="30" applyNumberFormat="1" applyFont="1" applyFill="1" applyBorder="1"/>
    <xf numFmtId="164" fontId="7" fillId="0" borderId="16" xfId="30" applyNumberFormat="1" applyFont="1" applyFill="1" applyBorder="1"/>
    <xf numFmtId="164" fontId="9" fillId="0" borderId="16" xfId="30" applyNumberFormat="1" applyFont="1" applyBorder="1"/>
    <xf numFmtId="164" fontId="7" fillId="0" borderId="16" xfId="30" applyNumberFormat="1" applyFont="1" applyBorder="1"/>
    <xf numFmtId="166" fontId="9" fillId="0" borderId="18" xfId="45" applyNumberFormat="1" applyFont="1" applyBorder="1"/>
    <xf numFmtId="164" fontId="9" fillId="0" borderId="28" xfId="30" applyNumberFormat="1" applyFont="1" applyBorder="1"/>
    <xf numFmtId="0" fontId="10" fillId="0" borderId="24" xfId="45" applyFont="1" applyBorder="1" applyAlignment="1">
      <alignment vertical="top"/>
    </xf>
    <xf numFmtId="0" fontId="7" fillId="0" borderId="15" xfId="45" applyFont="1" applyBorder="1" applyAlignment="1">
      <alignment horizontal="center" vertical="top"/>
    </xf>
    <xf numFmtId="164" fontId="7" fillId="0" borderId="33" xfId="45" applyNumberFormat="1" applyFont="1" applyBorder="1" applyAlignment="1">
      <alignment vertical="top"/>
    </xf>
    <xf numFmtId="1" fontId="10" fillId="0" borderId="33" xfId="45" applyNumberFormat="1" applyFont="1" applyBorder="1" applyAlignment="1">
      <alignment horizontal="left" vertical="top"/>
    </xf>
    <xf numFmtId="1" fontId="7" fillId="0" borderId="71" xfId="45" applyNumberFormat="1" applyFont="1" applyBorder="1" applyAlignment="1">
      <alignment horizontal="center"/>
    </xf>
    <xf numFmtId="1" fontId="7" fillId="0" borderId="79" xfId="45" applyNumberFormat="1" applyFont="1" applyBorder="1" applyAlignment="1">
      <alignment horizontal="center"/>
    </xf>
    <xf numFmtId="164" fontId="7" fillId="26" borderId="19" xfId="45" applyNumberFormat="1" applyFont="1" applyFill="1" applyBorder="1" applyAlignment="1">
      <alignment horizontal="center" vertical="top" wrapText="1"/>
    </xf>
    <xf numFmtId="164" fontId="7" fillId="0" borderId="80" xfId="0" applyNumberFormat="1" applyFont="1" applyBorder="1" applyAlignment="1">
      <alignment horizontal="center" vertical="top" wrapText="1"/>
    </xf>
    <xf numFmtId="1" fontId="10" fillId="0" borderId="80" xfId="0" applyNumberFormat="1" applyFont="1" applyBorder="1" applyAlignment="1">
      <alignment horizontal="left" vertical="center"/>
    </xf>
    <xf numFmtId="1" fontId="7" fillId="0" borderId="27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wrapText="1"/>
    </xf>
    <xf numFmtId="167" fontId="7" fillId="28" borderId="53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/>
    </xf>
    <xf numFmtId="1" fontId="7" fillId="31" borderId="40" xfId="0" applyNumberFormat="1" applyFont="1" applyFill="1" applyBorder="1" applyAlignment="1">
      <alignment horizontal="center" vertical="center"/>
    </xf>
    <xf numFmtId="167" fontId="7" fillId="28" borderId="12" xfId="0" applyNumberFormat="1" applyFont="1" applyFill="1" applyBorder="1" applyAlignment="1">
      <alignment horizontal="right" vertical="center" wrapText="1"/>
    </xf>
    <xf numFmtId="167" fontId="7" fillId="28" borderId="12" xfId="0" applyNumberFormat="1" applyFont="1" applyFill="1" applyBorder="1" applyAlignment="1" applyProtection="1">
      <alignment horizontal="right" vertical="center" wrapText="1"/>
      <protection hidden="1"/>
    </xf>
    <xf numFmtId="167" fontId="9" fillId="28" borderId="12" xfId="0" applyNumberFormat="1" applyFont="1" applyFill="1" applyBorder="1" applyAlignment="1">
      <alignment horizontal="right" vertical="center" wrapText="1"/>
    </xf>
    <xf numFmtId="164" fontId="7" fillId="28" borderId="15" xfId="0" applyNumberFormat="1" applyFont="1" applyFill="1" applyBorder="1" applyAlignment="1">
      <alignment horizontal="right" vertical="center" wrapText="1"/>
    </xf>
    <xf numFmtId="1" fontId="7" fillId="31" borderId="66" xfId="0" applyNumberFormat="1" applyFont="1" applyFill="1" applyBorder="1" applyAlignment="1">
      <alignment horizontal="center" vertical="center"/>
    </xf>
    <xf numFmtId="167" fontId="7" fillId="26" borderId="15" xfId="0" applyNumberFormat="1" applyFont="1" applyFill="1" applyBorder="1" applyAlignment="1">
      <alignment horizontal="center" vertical="top" wrapText="1"/>
    </xf>
    <xf numFmtId="167" fontId="7" fillId="26" borderId="22" xfId="0" applyNumberFormat="1" applyFont="1" applyFill="1" applyBorder="1" applyAlignment="1">
      <alignment horizontal="center" vertical="top" wrapText="1"/>
    </xf>
    <xf numFmtId="167" fontId="7" fillId="30" borderId="42" xfId="0" applyNumberFormat="1" applyFont="1" applyFill="1" applyBorder="1" applyAlignment="1">
      <alignment horizontal="center" vertical="top" wrapText="1"/>
    </xf>
    <xf numFmtId="167" fontId="7" fillId="26" borderId="82" xfId="0" applyNumberFormat="1" applyFont="1" applyFill="1" applyBorder="1" applyAlignment="1">
      <alignment horizontal="center" vertical="top" wrapText="1"/>
    </xf>
    <xf numFmtId="167" fontId="7" fillId="26" borderId="41" xfId="0" applyNumberFormat="1" applyFont="1" applyFill="1" applyBorder="1" applyAlignment="1">
      <alignment horizontal="center" vertical="top" wrapText="1"/>
    </xf>
    <xf numFmtId="167" fontId="7" fillId="26" borderId="61" xfId="0" applyNumberFormat="1" applyFont="1" applyFill="1" applyBorder="1" applyAlignment="1">
      <alignment horizontal="center" vertical="top" wrapText="1"/>
    </xf>
    <xf numFmtId="167" fontId="7" fillId="28" borderId="24" xfId="0" applyNumberFormat="1" applyFont="1" applyFill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67" fontId="7" fillId="0" borderId="39" xfId="0" applyNumberFormat="1" applyFont="1" applyBorder="1" applyAlignment="1">
      <alignment horizontal="center" vertical="center"/>
    </xf>
    <xf numFmtId="167" fontId="7" fillId="28" borderId="46" xfId="0" applyNumberFormat="1" applyFont="1" applyFill="1" applyBorder="1" applyAlignment="1">
      <alignment horizontal="center" vertical="center"/>
    </xf>
    <xf numFmtId="167" fontId="7" fillId="0" borderId="63" xfId="0" applyNumberFormat="1" applyFont="1" applyBorder="1" applyAlignment="1">
      <alignment horizontal="center" vertical="center"/>
    </xf>
    <xf numFmtId="167" fontId="7" fillId="0" borderId="38" xfId="0" applyNumberFormat="1" applyFont="1" applyBorder="1" applyAlignment="1">
      <alignment horizontal="center" vertical="center"/>
    </xf>
    <xf numFmtId="167" fontId="7" fillId="28" borderId="54" xfId="0" applyNumberFormat="1" applyFont="1" applyFill="1" applyBorder="1" applyAlignment="1">
      <alignment horizontal="center" vertical="center" wrapText="1"/>
    </xf>
    <xf numFmtId="167" fontId="10" fillId="28" borderId="15" xfId="0" applyNumberFormat="1" applyFont="1" applyFill="1" applyBorder="1" applyAlignment="1">
      <alignment horizontal="center" vertical="center"/>
    </xf>
    <xf numFmtId="167" fontId="10" fillId="0" borderId="22" xfId="0" applyNumberFormat="1" applyFont="1" applyBorder="1" applyAlignment="1">
      <alignment horizontal="center" vertical="center"/>
    </xf>
    <xf numFmtId="167" fontId="10" fillId="0" borderId="81" xfId="0" applyNumberFormat="1" applyFont="1" applyBorder="1" applyAlignment="1">
      <alignment horizontal="center" vertical="center"/>
    </xf>
    <xf numFmtId="167" fontId="10" fillId="28" borderId="42" xfId="0" applyNumberFormat="1" applyFont="1" applyFill="1" applyBorder="1" applyAlignment="1">
      <alignment horizontal="center" vertical="center"/>
    </xf>
    <xf numFmtId="167" fontId="10" fillId="0" borderId="82" xfId="0" applyNumberFormat="1" applyFont="1" applyBorder="1" applyAlignment="1">
      <alignment horizontal="center" vertical="center"/>
    </xf>
    <xf numFmtId="167" fontId="10" fillId="0" borderId="41" xfId="0" applyNumberFormat="1" applyFont="1" applyBorder="1" applyAlignment="1">
      <alignment horizontal="center" vertical="center"/>
    </xf>
    <xf numFmtId="167" fontId="10" fillId="28" borderId="61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167" fontId="7" fillId="28" borderId="47" xfId="0" applyNumberFormat="1" applyFont="1" applyFill="1" applyBorder="1" applyAlignment="1">
      <alignment horizontal="center" vertical="center" wrapText="1"/>
    </xf>
    <xf numFmtId="167" fontId="7" fillId="0" borderId="52" xfId="0" applyNumberFormat="1" applyFont="1" applyBorder="1" applyAlignment="1">
      <alignment horizontal="center" vertical="center" wrapText="1"/>
    </xf>
    <xf numFmtId="167" fontId="7" fillId="0" borderId="35" xfId="0" applyNumberFormat="1" applyFont="1" applyBorder="1" applyAlignment="1">
      <alignment horizontal="center" vertical="center" wrapText="1"/>
    </xf>
    <xf numFmtId="167" fontId="7" fillId="0" borderId="73" xfId="0" applyNumberFormat="1" applyFont="1" applyBorder="1" applyAlignment="1">
      <alignment horizontal="center" vertical="center" wrapText="1"/>
    </xf>
    <xf numFmtId="167" fontId="7" fillId="0" borderId="37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 applyProtection="1">
      <alignment horizontal="center" vertical="center" wrapText="1"/>
      <protection hidden="1"/>
    </xf>
    <xf numFmtId="167" fontId="7" fillId="0" borderId="17" xfId="0" applyNumberFormat="1" applyFont="1" applyBorder="1" applyAlignment="1" applyProtection="1">
      <alignment horizontal="center" vertical="center" wrapText="1"/>
      <protection hidden="1"/>
    </xf>
    <xf numFmtId="167" fontId="7" fillId="28" borderId="47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10" xfId="0" applyNumberFormat="1" applyFont="1" applyBorder="1" applyAlignment="1">
      <alignment horizontal="center" vertical="center" wrapText="1"/>
    </xf>
    <xf numFmtId="167" fontId="9" fillId="0" borderId="17" xfId="0" applyNumberFormat="1" applyFont="1" applyBorder="1" applyAlignment="1">
      <alignment horizontal="center" vertical="center" wrapText="1"/>
    </xf>
    <xf numFmtId="167" fontId="9" fillId="28" borderId="47" xfId="0" applyNumberFormat="1" applyFont="1" applyFill="1" applyBorder="1" applyAlignment="1">
      <alignment horizontal="center" vertical="center" wrapText="1"/>
    </xf>
    <xf numFmtId="167" fontId="9" fillId="0" borderId="52" xfId="0" applyNumberFormat="1" applyFont="1" applyBorder="1" applyAlignment="1">
      <alignment horizontal="center" vertical="center" wrapText="1"/>
    </xf>
    <xf numFmtId="167" fontId="9" fillId="0" borderId="16" xfId="0" applyNumberFormat="1" applyFont="1" applyBorder="1" applyAlignment="1">
      <alignment horizontal="center" vertical="center" wrapText="1"/>
    </xf>
    <xf numFmtId="167" fontId="9" fillId="28" borderId="5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81" xfId="0" applyNumberFormat="1" applyFont="1" applyBorder="1" applyAlignment="1">
      <alignment horizontal="center" vertical="center" wrapText="1"/>
    </xf>
    <xf numFmtId="167" fontId="7" fillId="28" borderId="42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28" borderId="6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166" fontId="7" fillId="26" borderId="83" xfId="0" applyNumberFormat="1" applyFont="1" applyFill="1" applyBorder="1" applyAlignment="1">
      <alignment horizontal="center" vertical="top" wrapText="1"/>
    </xf>
    <xf numFmtId="164" fontId="7" fillId="31" borderId="10" xfId="0" applyNumberFormat="1" applyFont="1" applyFill="1" applyBorder="1" applyAlignment="1">
      <alignment horizontal="right" wrapText="1"/>
    </xf>
    <xf numFmtId="0" fontId="7" fillId="26" borderId="70" xfId="0" applyFont="1" applyFill="1" applyBorder="1" applyAlignment="1">
      <alignment horizontal="center" vertical="top" wrapText="1"/>
    </xf>
    <xf numFmtId="166" fontId="7" fillId="0" borderId="60" xfId="30" applyNumberFormat="1" applyFont="1" applyBorder="1"/>
    <xf numFmtId="166" fontId="7" fillId="0" borderId="22" xfId="30" applyNumberFormat="1" applyFont="1" applyBorder="1"/>
    <xf numFmtId="166" fontId="7" fillId="0" borderId="81" xfId="30" applyNumberFormat="1" applyFont="1" applyBorder="1"/>
    <xf numFmtId="167" fontId="7" fillId="0" borderId="43" xfId="0" applyNumberFormat="1" applyFont="1" applyBorder="1" applyAlignment="1">
      <alignment horizontal="center" vertical="center" wrapText="1"/>
    </xf>
    <xf numFmtId="164" fontId="7" fillId="31" borderId="35" xfId="0" applyNumberFormat="1" applyFont="1" applyFill="1" applyBorder="1" applyAlignment="1">
      <alignment horizontal="right" wrapText="1"/>
    </xf>
    <xf numFmtId="166" fontId="14" fillId="0" borderId="84" xfId="0" applyNumberFormat="1" applyFont="1" applyBorder="1" applyAlignment="1">
      <alignment horizontal="center" vertical="top" wrapText="1"/>
    </xf>
    <xf numFmtId="164" fontId="7" fillId="0" borderId="74" xfId="0" applyNumberFormat="1" applyFont="1" applyBorder="1" applyAlignment="1">
      <alignment horizontal="right" vertical="top" wrapText="1"/>
    </xf>
    <xf numFmtId="164" fontId="12" fillId="0" borderId="74" xfId="0" applyNumberFormat="1" applyFont="1" applyBorder="1" applyAlignment="1">
      <alignment horizontal="right" vertical="top" wrapText="1"/>
    </xf>
    <xf numFmtId="164" fontId="7" fillId="0" borderId="74" xfId="0" applyNumberFormat="1" applyFont="1" applyBorder="1" applyAlignment="1">
      <alignment horizontal="right" vertical="center" wrapText="1"/>
    </xf>
    <xf numFmtId="0" fontId="7" fillId="26" borderId="62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4" fontId="4" fillId="0" borderId="10" xfId="30" applyNumberFormat="1" applyFont="1" applyFill="1" applyBorder="1"/>
    <xf numFmtId="164" fontId="4" fillId="0" borderId="10" xfId="30" applyNumberFormat="1" applyFont="1" applyBorder="1"/>
    <xf numFmtId="164" fontId="7" fillId="0" borderId="35" xfId="30" applyNumberFormat="1" applyFont="1" applyBorder="1"/>
    <xf numFmtId="164" fontId="7" fillId="0" borderId="37" xfId="30" applyNumberFormat="1" applyFont="1" applyBorder="1"/>
    <xf numFmtId="164" fontId="7" fillId="26" borderId="62" xfId="46" applyNumberFormat="1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166" fontId="7" fillId="0" borderId="53" xfId="30" applyNumberFormat="1" applyFont="1" applyBorder="1"/>
    <xf numFmtId="166" fontId="9" fillId="0" borderId="53" xfId="30" applyNumberFormat="1" applyFont="1" applyBorder="1"/>
    <xf numFmtId="166" fontId="9" fillId="0" borderId="54" xfId="30" applyNumberFormat="1" applyFont="1" applyBorder="1"/>
    <xf numFmtId="166" fontId="7" fillId="0" borderId="32" xfId="30" applyNumberFormat="1" applyFont="1" applyBorder="1"/>
    <xf numFmtId="0" fontId="9" fillId="0" borderId="34" xfId="0" applyFont="1" applyBorder="1"/>
    <xf numFmtId="166" fontId="7" fillId="0" borderId="61" xfId="30" applyNumberFormat="1" applyFont="1" applyBorder="1"/>
    <xf numFmtId="0" fontId="45" fillId="0" borderId="0" xfId="0" applyFont="1"/>
    <xf numFmtId="0" fontId="45" fillId="0" borderId="0" xfId="0" applyFont="1" applyAlignment="1">
      <alignment horizontal="center"/>
    </xf>
    <xf numFmtId="0" fontId="45" fillId="31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63" applyFont="1"/>
    <xf numFmtId="0" fontId="4" fillId="0" borderId="0" xfId="63"/>
    <xf numFmtId="0" fontId="4" fillId="0" borderId="14" xfId="63" applyBorder="1"/>
    <xf numFmtId="165" fontId="7" fillId="0" borderId="20" xfId="63" applyNumberFormat="1" applyFont="1" applyBorder="1" applyAlignment="1">
      <alignment horizontal="center"/>
    </xf>
    <xf numFmtId="0" fontId="4" fillId="0" borderId="56" xfId="63" applyBorder="1" applyAlignment="1">
      <alignment horizontal="center" vertical="top" wrapText="1"/>
    </xf>
    <xf numFmtId="0" fontId="4" fillId="0" borderId="0" xfId="63" applyAlignment="1">
      <alignment horizontal="center" vertical="top" wrapText="1"/>
    </xf>
    <xf numFmtId="0" fontId="4" fillId="0" borderId="24" xfId="63" applyBorder="1"/>
    <xf numFmtId="10" fontId="10" fillId="0" borderId="38" xfId="63" applyNumberFormat="1" applyFont="1" applyBorder="1" applyAlignment="1">
      <alignment horizontal="center"/>
    </xf>
    <xf numFmtId="164" fontId="7" fillId="0" borderId="12" xfId="63" applyNumberFormat="1" applyFont="1" applyBorder="1" applyAlignment="1">
      <alignment vertical="top"/>
    </xf>
    <xf numFmtId="0" fontId="7" fillId="0" borderId="16" xfId="63" applyFont="1" applyBorder="1" applyAlignment="1">
      <alignment horizontal="center" vertical="top" wrapText="1"/>
    </xf>
    <xf numFmtId="0" fontId="7" fillId="0" borderId="12" xfId="63" applyFont="1" applyBorder="1" applyAlignment="1">
      <alignment vertical="center"/>
    </xf>
    <xf numFmtId="164" fontId="7" fillId="0" borderId="16" xfId="63" applyNumberFormat="1" applyFont="1" applyBorder="1" applyAlignment="1">
      <alignment vertical="top"/>
    </xf>
    <xf numFmtId="164" fontId="7" fillId="34" borderId="16" xfId="63" applyNumberFormat="1" applyFont="1" applyFill="1" applyBorder="1" applyAlignment="1">
      <alignment vertical="top"/>
    </xf>
    <xf numFmtId="0" fontId="4" fillId="0" borderId="12" xfId="63" applyBorder="1" applyAlignment="1">
      <alignment vertical="center"/>
    </xf>
    <xf numFmtId="164" fontId="4" fillId="0" borderId="16" xfId="63" applyNumberFormat="1" applyBorder="1" applyAlignment="1">
      <alignment horizontal="right" wrapText="1"/>
    </xf>
    <xf numFmtId="0" fontId="7" fillId="0" borderId="18" xfId="63" applyFont="1" applyBorder="1" applyAlignment="1">
      <alignment vertical="center"/>
    </xf>
    <xf numFmtId="164" fontId="7" fillId="0" borderId="28" xfId="63" applyNumberFormat="1" applyFont="1" applyBorder="1" applyAlignment="1">
      <alignment horizontal="right" vertical="center"/>
    </xf>
    <xf numFmtId="0" fontId="37" fillId="0" borderId="0" xfId="63" applyFont="1"/>
    <xf numFmtId="172" fontId="4" fillId="0" borderId="0" xfId="63" applyNumberFormat="1"/>
    <xf numFmtId="0" fontId="46" fillId="0" borderId="0" xfId="63" applyFont="1"/>
    <xf numFmtId="0" fontId="7" fillId="0" borderId="85" xfId="64" applyFont="1" applyBorder="1" applyAlignment="1">
      <alignment horizontal="center" vertical="top" wrapText="1"/>
    </xf>
    <xf numFmtId="167" fontId="10" fillId="0" borderId="86" xfId="64" applyNumberFormat="1" applyFont="1" applyBorder="1" applyAlignment="1">
      <alignment horizontal="center" vertical="top" wrapText="1"/>
    </xf>
    <xf numFmtId="167" fontId="47" fillId="35" borderId="86" xfId="64" applyNumberFormat="1" applyFont="1" applyFill="1" applyBorder="1" applyAlignment="1">
      <alignment horizontal="center" vertical="top" wrapText="1"/>
    </xf>
    <xf numFmtId="167" fontId="10" fillId="0" borderId="0" xfId="64" applyNumberFormat="1" applyFont="1" applyAlignment="1">
      <alignment horizontal="center" vertical="top" wrapText="1"/>
    </xf>
    <xf numFmtId="0" fontId="5" fillId="0" borderId="87" xfId="64" applyBorder="1" applyAlignment="1">
      <alignment horizontal="center" vertical="top" wrapText="1"/>
    </xf>
    <xf numFmtId="167" fontId="10" fillId="0" borderId="50" xfId="64" applyNumberFormat="1" applyFont="1" applyBorder="1" applyAlignment="1">
      <alignment horizontal="center" vertical="top" wrapText="1"/>
    </xf>
    <xf numFmtId="167" fontId="47" fillId="35" borderId="50" xfId="64" applyNumberFormat="1" applyFont="1" applyFill="1" applyBorder="1" applyAlignment="1">
      <alignment horizontal="center" vertical="top" wrapText="1"/>
    </xf>
    <xf numFmtId="0" fontId="7" fillId="0" borderId="88" xfId="64" applyFont="1" applyBorder="1" applyAlignment="1">
      <alignment horizontal="left" vertical="top" wrapText="1"/>
    </xf>
    <xf numFmtId="167" fontId="10" fillId="0" borderId="46" xfId="64" applyNumberFormat="1" applyFont="1" applyBorder="1" applyAlignment="1">
      <alignment horizontal="center" vertical="top" wrapText="1"/>
    </xf>
    <xf numFmtId="167" fontId="47" fillId="35" borderId="46" xfId="64" applyNumberFormat="1" applyFont="1" applyFill="1" applyBorder="1" applyAlignment="1">
      <alignment horizontal="center" vertical="top" wrapText="1"/>
    </xf>
    <xf numFmtId="0" fontId="7" fillId="0" borderId="89" xfId="64" applyFont="1" applyBorder="1"/>
    <xf numFmtId="167" fontId="4" fillId="0" borderId="51" xfId="64" applyNumberFormat="1" applyFont="1" applyBorder="1"/>
    <xf numFmtId="167" fontId="42" fillId="35" borderId="51" xfId="64" applyNumberFormat="1" applyFont="1" applyFill="1" applyBorder="1"/>
    <xf numFmtId="167" fontId="7" fillId="0" borderId="90" xfId="64" applyNumberFormat="1" applyFont="1" applyBorder="1"/>
    <xf numFmtId="167" fontId="7" fillId="0" borderId="0" xfId="64" applyNumberFormat="1" applyFont="1"/>
    <xf numFmtId="167" fontId="4" fillId="0" borderId="10" xfId="64" applyNumberFormat="1" applyFont="1" applyBorder="1"/>
    <xf numFmtId="0" fontId="4" fillId="0" borderId="10" xfId="63" applyBorder="1"/>
    <xf numFmtId="0" fontId="37" fillId="0" borderId="91" xfId="64" applyFont="1" applyBorder="1"/>
    <xf numFmtId="167" fontId="4" fillId="0" borderId="47" xfId="64" applyNumberFormat="1" applyFont="1" applyBorder="1"/>
    <xf numFmtId="167" fontId="42" fillId="35" borderId="47" xfId="64" applyNumberFormat="1" applyFont="1" applyFill="1" applyBorder="1"/>
    <xf numFmtId="167" fontId="7" fillId="0" borderId="92" xfId="64" applyNumberFormat="1" applyFont="1" applyBorder="1"/>
    <xf numFmtId="0" fontId="4" fillId="0" borderId="91" xfId="64" applyFont="1" applyBorder="1"/>
    <xf numFmtId="167" fontId="4" fillId="35" borderId="47" xfId="64" applyNumberFormat="1" applyFont="1" applyFill="1" applyBorder="1"/>
    <xf numFmtId="167" fontId="7" fillId="34" borderId="92" xfId="64" applyNumberFormat="1" applyFont="1" applyFill="1" applyBorder="1"/>
    <xf numFmtId="167" fontId="7" fillId="34" borderId="0" xfId="64" applyNumberFormat="1" applyFont="1" applyFill="1"/>
    <xf numFmtId="167" fontId="4" fillId="34" borderId="10" xfId="64" applyNumberFormat="1" applyFont="1" applyFill="1" applyBorder="1"/>
    <xf numFmtId="167" fontId="4" fillId="34" borderId="47" xfId="64" applyNumberFormat="1" applyFont="1" applyFill="1" applyBorder="1"/>
    <xf numFmtId="167" fontId="4" fillId="36" borderId="47" xfId="64" applyNumberFormat="1" applyFont="1" applyFill="1" applyBorder="1"/>
    <xf numFmtId="167" fontId="4" fillId="0" borderId="10" xfId="63" applyNumberFormat="1" applyBorder="1"/>
    <xf numFmtId="0" fontId="7" fillId="0" borderId="91" xfId="64" applyFont="1" applyBorder="1"/>
    <xf numFmtId="167" fontId="7" fillId="0" borderId="47" xfId="64" applyNumberFormat="1" applyFont="1" applyBorder="1"/>
    <xf numFmtId="167" fontId="37" fillId="35" borderId="47" xfId="64" applyNumberFormat="1" applyFont="1" applyFill="1" applyBorder="1"/>
    <xf numFmtId="0" fontId="4" fillId="0" borderId="91" xfId="64" applyFont="1" applyBorder="1" applyAlignment="1">
      <alignment wrapText="1"/>
    </xf>
    <xf numFmtId="0" fontId="7" fillId="0" borderId="91" xfId="64" applyFont="1" applyBorder="1" applyAlignment="1">
      <alignment wrapText="1"/>
    </xf>
    <xf numFmtId="167" fontId="7" fillId="34" borderId="47" xfId="64" applyNumberFormat="1" applyFont="1" applyFill="1" applyBorder="1"/>
    <xf numFmtId="166" fontId="4" fillId="35" borderId="47" xfId="64" applyNumberFormat="1" applyFont="1" applyFill="1" applyBorder="1"/>
    <xf numFmtId="166" fontId="42" fillId="35" borderId="47" xfId="64" applyNumberFormat="1" applyFont="1" applyFill="1" applyBorder="1"/>
    <xf numFmtId="166" fontId="4" fillId="0" borderId="47" xfId="64" applyNumberFormat="1" applyFont="1" applyBorder="1"/>
    <xf numFmtId="166" fontId="4" fillId="34" borderId="47" xfId="64" applyNumberFormat="1" applyFont="1" applyFill="1" applyBorder="1"/>
    <xf numFmtId="167" fontId="7" fillId="33" borderId="47" xfId="64" applyNumberFormat="1" applyFont="1" applyFill="1" applyBorder="1"/>
    <xf numFmtId="167" fontId="37" fillId="33" borderId="47" xfId="64" applyNumberFormat="1" applyFont="1" applyFill="1" applyBorder="1"/>
    <xf numFmtId="167" fontId="7" fillId="0" borderId="46" xfId="64" applyNumberFormat="1" applyFont="1" applyBorder="1"/>
    <xf numFmtId="167" fontId="37" fillId="35" borderId="46" xfId="64" applyNumberFormat="1" applyFont="1" applyFill="1" applyBorder="1"/>
    <xf numFmtId="166" fontId="1" fillId="35" borderId="67" xfId="63" applyNumberFormat="1" applyFont="1" applyFill="1" applyBorder="1"/>
    <xf numFmtId="166" fontId="48" fillId="35" borderId="67" xfId="63" applyNumberFormat="1" applyFont="1" applyFill="1" applyBorder="1"/>
    <xf numFmtId="166" fontId="1" fillId="0" borderId="67" xfId="63" applyNumberFormat="1" applyFont="1" applyBorder="1"/>
    <xf numFmtId="166" fontId="48" fillId="35" borderId="50" xfId="63" applyNumberFormat="1" applyFont="1" applyFill="1" applyBorder="1"/>
    <xf numFmtId="0" fontId="4" fillId="0" borderId="88" xfId="64" applyFont="1" applyBorder="1"/>
    <xf numFmtId="167" fontId="4" fillId="0" borderId="46" xfId="64" applyNumberFormat="1" applyFont="1" applyBorder="1"/>
    <xf numFmtId="167" fontId="42" fillId="35" borderId="46" xfId="64" applyNumberFormat="1" applyFont="1" applyFill="1" applyBorder="1"/>
    <xf numFmtId="167" fontId="7" fillId="34" borderId="10" xfId="64" applyNumberFormat="1" applyFont="1" applyFill="1" applyBorder="1"/>
    <xf numFmtId="0" fontId="7" fillId="0" borderId="93" xfId="64" applyFont="1" applyBorder="1"/>
    <xf numFmtId="167" fontId="7" fillId="33" borderId="94" xfId="64" applyNumberFormat="1" applyFont="1" applyFill="1" applyBorder="1"/>
    <xf numFmtId="167" fontId="37" fillId="33" borderId="94" xfId="64" applyNumberFormat="1" applyFont="1" applyFill="1" applyBorder="1"/>
    <xf numFmtId="167" fontId="7" fillId="33" borderId="95" xfId="64" applyNumberFormat="1" applyFont="1" applyFill="1" applyBorder="1"/>
    <xf numFmtId="169" fontId="7" fillId="33" borderId="10" xfId="65" applyNumberFormat="1" applyFont="1" applyFill="1" applyBorder="1"/>
    <xf numFmtId="0" fontId="42" fillId="0" borderId="0" xfId="63" applyFont="1"/>
    <xf numFmtId="169" fontId="0" fillId="0" borderId="0" xfId="65" applyNumberFormat="1" applyFont="1" applyFill="1"/>
    <xf numFmtId="169" fontId="4" fillId="0" borderId="0" xfId="63" applyNumberFormat="1"/>
    <xf numFmtId="169" fontId="4" fillId="0" borderId="0" xfId="63" applyNumberFormat="1" applyAlignment="1">
      <alignment horizontal="left"/>
    </xf>
    <xf numFmtId="169" fontId="0" fillId="0" borderId="0" xfId="65" applyNumberFormat="1" applyFont="1"/>
    <xf numFmtId="0" fontId="4" fillId="0" borderId="0" xfId="63" applyAlignment="1">
      <alignment horizontal="left"/>
    </xf>
    <xf numFmtId="43" fontId="4" fillId="0" borderId="0" xfId="63" applyNumberFormat="1"/>
    <xf numFmtId="43" fontId="4" fillId="0" borderId="0" xfId="63" applyNumberFormat="1" applyAlignment="1">
      <alignment horizontal="left"/>
    </xf>
    <xf numFmtId="0" fontId="7" fillId="0" borderId="0" xfId="63" applyFont="1" applyAlignment="1">
      <alignment horizontal="left"/>
    </xf>
    <xf numFmtId="169" fontId="7" fillId="0" borderId="0" xfId="63" applyNumberFormat="1" applyFont="1"/>
    <xf numFmtId="174" fontId="4" fillId="0" borderId="0" xfId="63" applyNumberFormat="1"/>
    <xf numFmtId="0" fontId="5" fillId="31" borderId="0" xfId="0" applyFont="1" applyFill="1" applyAlignment="1">
      <alignment wrapText="1"/>
    </xf>
    <xf numFmtId="0" fontId="7" fillId="0" borderId="15" xfId="0" applyFont="1" applyBorder="1" applyAlignment="1">
      <alignment vertical="center"/>
    </xf>
    <xf numFmtId="164" fontId="7" fillId="0" borderId="22" xfId="0" applyNumberFormat="1" applyFont="1" applyBorder="1" applyAlignment="1">
      <alignment horizontal="right" vertical="center"/>
    </xf>
    <xf numFmtId="172" fontId="4" fillId="31" borderId="0" xfId="0" applyNumberFormat="1" applyFont="1" applyFill="1"/>
    <xf numFmtId="0" fontId="7" fillId="31" borderId="21" xfId="0" applyFont="1" applyFill="1" applyBorder="1" applyAlignment="1">
      <alignment horizontal="center"/>
    </xf>
    <xf numFmtId="0" fontId="7" fillId="30" borderId="57" xfId="63" applyFont="1" applyFill="1" applyBorder="1" applyAlignment="1">
      <alignment horizontal="center" vertical="top" wrapText="1"/>
    </xf>
    <xf numFmtId="0" fontId="4" fillId="31" borderId="0" xfId="0" applyFont="1" applyFill="1" applyAlignment="1">
      <alignment horizontal="center" wrapText="1"/>
    </xf>
    <xf numFmtId="164" fontId="7" fillId="31" borderId="17" xfId="0" applyNumberFormat="1" applyFont="1" applyFill="1" applyBorder="1" applyAlignment="1">
      <alignment horizontal="right" vertical="center" wrapText="1"/>
    </xf>
    <xf numFmtId="164" fontId="7" fillId="31" borderId="17" xfId="0" applyNumberFormat="1" applyFont="1" applyFill="1" applyBorder="1" applyAlignment="1">
      <alignment horizontal="right" vertical="top" wrapText="1"/>
    </xf>
    <xf numFmtId="164" fontId="7" fillId="31" borderId="43" xfId="0" applyNumberFormat="1" applyFont="1" applyFill="1" applyBorder="1" applyAlignment="1">
      <alignment horizontal="right" vertical="top" wrapText="1"/>
    </xf>
    <xf numFmtId="164" fontId="12" fillId="31" borderId="17" xfId="0" applyNumberFormat="1" applyFont="1" applyFill="1" applyBorder="1" applyAlignment="1">
      <alignment horizontal="right" vertical="top" wrapText="1"/>
    </xf>
    <xf numFmtId="0" fontId="7" fillId="31" borderId="42" xfId="0" applyFont="1" applyFill="1" applyBorder="1"/>
    <xf numFmtId="1" fontId="10" fillId="0" borderId="96" xfId="0" applyNumberFormat="1" applyFont="1" applyBorder="1" applyAlignment="1">
      <alignment horizontal="center" vertical="top"/>
    </xf>
    <xf numFmtId="164" fontId="7" fillId="0" borderId="81" xfId="0" applyNumberFormat="1" applyFont="1" applyBorder="1"/>
    <xf numFmtId="164" fontId="10" fillId="26" borderId="79" xfId="0" applyNumberFormat="1" applyFont="1" applyFill="1" applyBorder="1" applyAlignment="1">
      <alignment horizontal="center" vertical="top" wrapText="1"/>
    </xf>
    <xf numFmtId="164" fontId="7" fillId="0" borderId="46" xfId="0" applyNumberFormat="1" applyFont="1" applyBorder="1" applyAlignment="1">
      <alignment horizontal="right" vertical="top" wrapText="1"/>
    </xf>
    <xf numFmtId="164" fontId="7" fillId="0" borderId="47" xfId="0" applyNumberFormat="1" applyFont="1" applyBorder="1" applyAlignment="1">
      <alignment horizontal="right" vertical="top" wrapText="1"/>
    </xf>
    <xf numFmtId="164" fontId="9" fillId="0" borderId="47" xfId="0" applyNumberFormat="1" applyFont="1" applyBorder="1" applyAlignment="1">
      <alignment horizontal="right" vertical="top" wrapText="1"/>
    </xf>
    <xf numFmtId="164" fontId="7" fillId="0" borderId="67" xfId="0" applyNumberFormat="1" applyFont="1" applyBorder="1" applyAlignment="1">
      <alignment horizontal="right" vertical="top" wrapText="1"/>
    </xf>
    <xf numFmtId="164" fontId="9" fillId="0" borderId="67" xfId="0" applyNumberFormat="1" applyFont="1" applyBorder="1" applyAlignment="1">
      <alignment horizontal="right" vertical="top" wrapText="1"/>
    </xf>
    <xf numFmtId="164" fontId="7" fillId="0" borderId="42" xfId="0" applyNumberFormat="1" applyFont="1" applyBorder="1"/>
    <xf numFmtId="164" fontId="7" fillId="0" borderId="96" xfId="0" applyNumberFormat="1" applyFont="1" applyBorder="1" applyAlignment="1">
      <alignment horizontal="center" wrapText="1"/>
    </xf>
    <xf numFmtId="164" fontId="7" fillId="0" borderId="81" xfId="0" applyNumberFormat="1" applyFont="1" applyBorder="1" applyAlignment="1">
      <alignment horizontal="right" vertical="center" wrapText="1"/>
    </xf>
    <xf numFmtId="1" fontId="7" fillId="0" borderId="66" xfId="0" applyNumberFormat="1" applyFont="1" applyBorder="1" applyAlignment="1">
      <alignment horizontal="center" vertical="center"/>
    </xf>
    <xf numFmtId="166" fontId="7" fillId="26" borderId="79" xfId="0" applyNumberFormat="1" applyFont="1" applyFill="1" applyBorder="1" applyAlignment="1">
      <alignment horizontal="center" vertical="top" wrapText="1"/>
    </xf>
    <xf numFmtId="164" fontId="7" fillId="0" borderId="51" xfId="0" applyNumberFormat="1" applyFont="1" applyBorder="1" applyAlignment="1">
      <alignment horizontal="center" wrapText="1"/>
    </xf>
    <xf numFmtId="1" fontId="10" fillId="0" borderId="4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right" wrapText="1"/>
    </xf>
    <xf numFmtId="164" fontId="7" fillId="0" borderId="47" xfId="0" applyNumberFormat="1" applyFont="1" applyBorder="1" applyAlignment="1">
      <alignment horizontal="right" vertical="center" wrapText="1"/>
    </xf>
    <xf numFmtId="164" fontId="7" fillId="0" borderId="47" xfId="0" applyNumberFormat="1" applyFont="1" applyBorder="1" applyAlignment="1">
      <alignment vertical="center"/>
    </xf>
    <xf numFmtId="164" fontId="7" fillId="0" borderId="42" xfId="0" applyNumberFormat="1" applyFont="1" applyBorder="1" applyAlignment="1">
      <alignment horizontal="right" vertical="center" wrapText="1"/>
    </xf>
    <xf numFmtId="0" fontId="7" fillId="26" borderId="17" xfId="0" applyFont="1" applyFill="1" applyBorder="1" applyAlignment="1">
      <alignment horizontal="center" vertical="top" wrapText="1"/>
    </xf>
    <xf numFmtId="165" fontId="7" fillId="0" borderId="66" xfId="0" applyNumberFormat="1" applyFont="1" applyBorder="1" applyAlignment="1">
      <alignment horizontal="center"/>
    </xf>
    <xf numFmtId="0" fontId="7" fillId="26" borderId="79" xfId="0" applyFont="1" applyFill="1" applyBorder="1" applyAlignment="1">
      <alignment horizontal="center" vertical="top" wrapText="1"/>
    </xf>
    <xf numFmtId="164" fontId="9" fillId="0" borderId="46" xfId="0" applyNumberFormat="1" applyFont="1" applyBorder="1" applyAlignment="1">
      <alignment horizontal="right" wrapText="1"/>
    </xf>
    <xf numFmtId="164" fontId="9" fillId="0" borderId="47" xfId="0" applyNumberFormat="1" applyFont="1" applyBorder="1" applyAlignment="1">
      <alignment horizontal="right" wrapText="1"/>
    </xf>
    <xf numFmtId="164" fontId="7" fillId="0" borderId="47" xfId="0" applyNumberFormat="1" applyFont="1" applyBorder="1"/>
    <xf numFmtId="165" fontId="7" fillId="0" borderId="96" xfId="0" applyNumberFormat="1" applyFont="1" applyBorder="1" applyAlignment="1">
      <alignment horizontal="center"/>
    </xf>
    <xf numFmtId="164" fontId="7" fillId="26" borderId="43" xfId="0" applyNumberFormat="1" applyFont="1" applyFill="1" applyBorder="1" applyAlignment="1">
      <alignment horizontal="center" vertical="top" wrapText="1"/>
    </xf>
    <xf numFmtId="164" fontId="7" fillId="26" borderId="73" xfId="0" applyNumberFormat="1" applyFont="1" applyFill="1" applyBorder="1" applyAlignment="1">
      <alignment horizontal="center" vertical="top" wrapText="1"/>
    </xf>
    <xf numFmtId="164" fontId="7" fillId="0" borderId="21" xfId="0" applyNumberFormat="1" applyFont="1" applyBorder="1" applyAlignment="1">
      <alignment horizontal="center" wrapText="1"/>
    </xf>
    <xf numFmtId="164" fontId="9" fillId="0" borderId="63" xfId="0" applyNumberFormat="1" applyFont="1" applyBorder="1" applyAlignment="1">
      <alignment horizontal="right" wrapText="1"/>
    </xf>
    <xf numFmtId="164" fontId="7" fillId="0" borderId="52" xfId="0" applyNumberFormat="1" applyFont="1" applyBorder="1" applyAlignment="1">
      <alignment horizontal="right" wrapText="1"/>
    </xf>
    <xf numFmtId="164" fontId="9" fillId="0" borderId="52" xfId="0" applyNumberFormat="1" applyFont="1" applyBorder="1" applyAlignment="1">
      <alignment horizontal="right" wrapText="1"/>
    </xf>
    <xf numFmtId="164" fontId="7" fillId="0" borderId="82" xfId="0" applyNumberFormat="1" applyFont="1" applyBorder="1"/>
    <xf numFmtId="165" fontId="7" fillId="0" borderId="51" xfId="0" applyNumberFormat="1" applyFont="1" applyBorder="1" applyAlignment="1">
      <alignment horizontal="center"/>
    </xf>
    <xf numFmtId="164" fontId="7" fillId="26" borderId="67" xfId="0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center"/>
    </xf>
    <xf numFmtId="164" fontId="7" fillId="0" borderId="39" xfId="0" applyNumberFormat="1" applyFont="1" applyBorder="1" applyAlignment="1">
      <alignment horizontal="right" vertical="top" wrapText="1"/>
    </xf>
    <xf numFmtId="1" fontId="10" fillId="0" borderId="15" xfId="0" applyNumberFormat="1" applyFont="1" applyBorder="1" applyAlignment="1">
      <alignment horizontal="left" vertical="top"/>
    </xf>
    <xf numFmtId="1" fontId="10" fillId="0" borderId="22" xfId="0" applyNumberFormat="1" applyFont="1" applyBorder="1" applyAlignment="1">
      <alignment horizontal="center" vertical="top"/>
    </xf>
    <xf numFmtId="1" fontId="10" fillId="0" borderId="81" xfId="0" applyNumberFormat="1" applyFont="1" applyBorder="1" applyAlignment="1">
      <alignment horizontal="center" vertical="top"/>
    </xf>
    <xf numFmtId="1" fontId="10" fillId="0" borderId="42" xfId="0" applyNumberFormat="1" applyFont="1" applyBorder="1" applyAlignment="1">
      <alignment horizontal="center" vertical="top"/>
    </xf>
    <xf numFmtId="1" fontId="7" fillId="0" borderId="24" xfId="0" applyNumberFormat="1" applyFont="1" applyBorder="1" applyAlignment="1">
      <alignment horizontal="left" vertical="center"/>
    </xf>
    <xf numFmtId="1" fontId="10" fillId="0" borderId="42" xfId="0" applyNumberFormat="1" applyFont="1" applyBorder="1" applyAlignment="1">
      <alignment horizontal="center" vertical="top" wrapText="1"/>
    </xf>
    <xf numFmtId="165" fontId="7" fillId="31" borderId="66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center" wrapText="1"/>
    </xf>
    <xf numFmtId="164" fontId="7" fillId="0" borderId="81" xfId="0" applyNumberFormat="1" applyFont="1" applyBorder="1" applyAlignment="1">
      <alignment horizontal="right" vertical="center"/>
    </xf>
    <xf numFmtId="165" fontId="7" fillId="31" borderId="66" xfId="0" applyNumberFormat="1" applyFont="1" applyFill="1" applyBorder="1" applyAlignment="1">
      <alignment horizontal="center"/>
    </xf>
    <xf numFmtId="164" fontId="7" fillId="26" borderId="42" xfId="0" applyNumberFormat="1" applyFont="1" applyFill="1" applyBorder="1" applyAlignment="1">
      <alignment horizontal="center" vertical="top" textRotation="180" wrapText="1"/>
    </xf>
    <xf numFmtId="10" fontId="10" fillId="0" borderId="46" xfId="0" applyNumberFormat="1" applyFont="1" applyBorder="1" applyAlignment="1">
      <alignment horizontal="center"/>
    </xf>
    <xf numFmtId="171" fontId="10" fillId="0" borderId="47" xfId="0" applyNumberFormat="1" applyFont="1" applyBorder="1" applyAlignment="1">
      <alignment horizontal="center"/>
    </xf>
    <xf numFmtId="164" fontId="7" fillId="0" borderId="47" xfId="0" applyNumberFormat="1" applyFont="1" applyBorder="1" applyAlignment="1">
      <alignment vertical="top"/>
    </xf>
    <xf numFmtId="164" fontId="7" fillId="0" borderId="48" xfId="0" applyNumberFormat="1" applyFont="1" applyBorder="1" applyAlignment="1">
      <alignment vertical="top"/>
    </xf>
    <xf numFmtId="164" fontId="7" fillId="0" borderId="42" xfId="0" applyNumberFormat="1" applyFont="1" applyBorder="1" applyAlignment="1">
      <alignment horizontal="right" vertical="center"/>
    </xf>
    <xf numFmtId="0" fontId="7" fillId="0" borderId="8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169" fontId="7" fillId="0" borderId="17" xfId="30" applyNumberFormat="1" applyFont="1" applyFill="1" applyBorder="1"/>
    <xf numFmtId="164" fontId="9" fillId="0" borderId="17" xfId="30" applyNumberFormat="1" applyFont="1" applyFill="1" applyBorder="1"/>
    <xf numFmtId="164" fontId="7" fillId="0" borderId="17" xfId="30" applyNumberFormat="1" applyFont="1" applyFill="1" applyBorder="1"/>
    <xf numFmtId="164" fontId="9" fillId="0" borderId="17" xfId="30" applyNumberFormat="1" applyFont="1" applyBorder="1"/>
    <xf numFmtId="164" fontId="7" fillId="0" borderId="17" xfId="30" applyNumberFormat="1" applyFont="1" applyBorder="1"/>
    <xf numFmtId="164" fontId="9" fillId="0" borderId="25" xfId="30" applyNumberFormat="1" applyFont="1" applyBorder="1"/>
    <xf numFmtId="164" fontId="7" fillId="0" borderId="33" xfId="30" applyNumberFormat="1" applyFont="1" applyBorder="1"/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169" fontId="7" fillId="0" borderId="47" xfId="30" applyNumberFormat="1" applyFont="1" applyFill="1" applyBorder="1"/>
    <xf numFmtId="164" fontId="9" fillId="0" borderId="47" xfId="30" applyNumberFormat="1" applyFont="1" applyFill="1" applyBorder="1"/>
    <xf numFmtId="164" fontId="7" fillId="0" borderId="47" xfId="30" applyNumberFormat="1" applyFont="1" applyFill="1" applyBorder="1"/>
    <xf numFmtId="164" fontId="9" fillId="0" borderId="47" xfId="30" applyNumberFormat="1" applyFont="1" applyBorder="1"/>
    <xf numFmtId="164" fontId="7" fillId="0" borderId="47" xfId="30" applyNumberFormat="1" applyFont="1" applyBorder="1"/>
    <xf numFmtId="164" fontId="9" fillId="0" borderId="48" xfId="30" applyNumberFormat="1" applyFont="1" applyBorder="1"/>
    <xf numFmtId="167" fontId="7" fillId="30" borderId="13" xfId="0" applyNumberFormat="1" applyFont="1" applyFill="1" applyBorder="1" applyAlignment="1">
      <alignment horizontal="center" vertical="top" wrapText="1"/>
    </xf>
    <xf numFmtId="167" fontId="7" fillId="30" borderId="20" xfId="0" applyNumberFormat="1" applyFont="1" applyFill="1" applyBorder="1" applyAlignment="1">
      <alignment horizontal="center" vertical="top" wrapText="1"/>
    </xf>
    <xf numFmtId="164" fontId="7" fillId="0" borderId="23" xfId="0" applyNumberFormat="1" applyFont="1" applyBorder="1" applyAlignment="1">
      <alignment vertical="top"/>
    </xf>
    <xf numFmtId="1" fontId="10" fillId="0" borderId="60" xfId="0" applyNumberFormat="1" applyFont="1" applyBorder="1" applyAlignment="1">
      <alignment horizontal="left" vertical="top"/>
    </xf>
    <xf numFmtId="164" fontId="10" fillId="26" borderId="29" xfId="0" applyNumberFormat="1" applyFont="1" applyFill="1" applyBorder="1" applyAlignment="1">
      <alignment horizontal="center" vertical="top" wrapText="1"/>
    </xf>
    <xf numFmtId="164" fontId="10" fillId="26" borderId="97" xfId="0" applyNumberFormat="1" applyFont="1" applyFill="1" applyBorder="1" applyAlignment="1">
      <alignment horizontal="center" vertical="top" wrapText="1"/>
    </xf>
    <xf numFmtId="164" fontId="10" fillId="26" borderId="66" xfId="0" applyNumberFormat="1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top"/>
    </xf>
    <xf numFmtId="1" fontId="10" fillId="0" borderId="41" xfId="0" applyNumberFormat="1" applyFont="1" applyBorder="1" applyAlignment="1">
      <alignment horizontal="center" vertical="top"/>
    </xf>
    <xf numFmtId="164" fontId="7" fillId="26" borderId="36" xfId="46" applyNumberFormat="1" applyFont="1" applyFill="1" applyBorder="1" applyAlignment="1">
      <alignment horizontal="center" vertical="top" wrapText="1"/>
    </xf>
  </cellXfs>
  <cellStyles count="66">
    <cellStyle name="0,0_x000d__x000a_NA_x000d__x000a_" xfId="1" xr:uid="{00000000-0005-0000-0000-000000000000}"/>
    <cellStyle name="0,0_x000d__x000a_NA_x000d__x000a_ 2" xfId="2" xr:uid="{00000000-0005-0000-0000-000001000000}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" xfId="30" builtinId="3"/>
    <cellStyle name="Comma 2" xfId="31" xr:uid="{00000000-0005-0000-0000-00001E000000}"/>
    <cellStyle name="Comma 3" xfId="32" xr:uid="{00000000-0005-0000-0000-00001F000000}"/>
    <cellStyle name="Comma 4" xfId="33" xr:uid="{00000000-0005-0000-0000-000020000000}"/>
    <cellStyle name="Comma 5" xfId="61" xr:uid="{ACEADA2D-1B16-4C94-B7AF-C211D100E9E3}"/>
    <cellStyle name="Comma 6" xfId="65" xr:uid="{28425B05-24DF-4392-BEEA-91AB57F75E77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2" xfId="62" xr:uid="{731976E2-AC6D-4AEE-9B38-BC162C5D7C57}"/>
    <cellStyle name="Normal 3" xfId="44" xr:uid="{00000000-0005-0000-0000-00002C000000}"/>
    <cellStyle name="Normal 4" xfId="59" xr:uid="{775E2DB4-B060-43EF-B86D-BA538DECCA2D}"/>
    <cellStyle name="Normal 5" xfId="60" xr:uid="{6A7FE3B9-158E-40F3-B25F-C7ABA48B3128}"/>
    <cellStyle name="Normal 6" xfId="63" xr:uid="{726DA77B-34C7-4E25-83DE-C59C358BD6A5}"/>
    <cellStyle name="Normal_Depreciation allocation final" xfId="64" xr:uid="{8CEC88B0-4BA9-457D-BDE0-1582D086350D}"/>
    <cellStyle name="Normal_Table C GMS 2011-12 V1" xfId="45" xr:uid="{00000000-0005-0000-0000-00002E000000}"/>
    <cellStyle name="Normal_Table C GMS 2011-12 V1 2" xfId="46" xr:uid="{00000000-0005-0000-0000-00002F000000}"/>
    <cellStyle name="Note" xfId="47" builtinId="10" customBuiltin="1"/>
    <cellStyle name="Note 2" xfId="48" xr:uid="{00000000-0005-0000-0000-000031000000}"/>
    <cellStyle name="Output" xfId="49" builtinId="21" customBuiltin="1"/>
    <cellStyle name="Output Amounts" xfId="50" xr:uid="{00000000-0005-0000-0000-000033000000}"/>
    <cellStyle name="Output Column Headings" xfId="51" xr:uid="{00000000-0005-0000-0000-000034000000}"/>
    <cellStyle name="Output Line Items" xfId="52" xr:uid="{00000000-0005-0000-0000-000035000000}"/>
    <cellStyle name="Output Report Heading" xfId="53" xr:uid="{00000000-0005-0000-0000-000036000000}"/>
    <cellStyle name="Output Report Title" xfId="54" xr:uid="{00000000-0005-0000-0000-000037000000}"/>
    <cellStyle name="Per cent" xfId="58" builtinId="5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calcChain" Target="calcChain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16" /><Relationship Type="http://schemas.microsoft.com/office/2017/10/relationships/person" Target="persons/perso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d476ba2b53bc4a63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liots/Local%20Settings/Temporary%20Internet%20Files/OLK1/Table%20E%20allocation%202010-11%20V1%20(with%20detai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mist_Data workings"/>
      <sheetName val="HSW data 07-8 and 08-9"/>
      <sheetName val="HSW data -Pharmacies in Wales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udley, Richard (HSS - NHS Finance - HSS Finance)" id="{E3B67BAB-3822-4604-9224-8C9E9ED28A0F}" userId="S::Richard.Dudley@gov.wales::386df33f-74b0-4fe2-988e-5b5646c7255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B24" dT="2023-12-19T11:10:34.54" personId="{E3B67BAB-3822-4604-9224-8C9E9ED28A0F}" id="{99E53BF9-7B51-4D75-8C65-1470EA8D8ED7}">
    <text xml:space="preserve">PE storage, management &amp; delivery£2.417m
Mass Vaccination  £1.187m
Lateral Flow Testing / Delivery £0.148m 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499984740745262"/>
    <pageSetUpPr fitToPage="1"/>
  </sheetPr>
  <dimension ref="A1:B20"/>
  <sheetViews>
    <sheetView zoomScale="60" zoomScaleNormal="60" workbookViewId="0">
      <selection activeCell="B38" sqref="B38"/>
    </sheetView>
  </sheetViews>
  <sheetFormatPr defaultColWidth="8.90625" defaultRowHeight="15.6" x14ac:dyDescent="0.3"/>
  <cols>
    <col min="1" max="1" width="12.453125" style="9" customWidth="1"/>
    <col min="2" max="2" width="97.81640625" style="9" customWidth="1"/>
    <col min="3" max="16384" width="8.90625" style="8"/>
  </cols>
  <sheetData>
    <row r="1" spans="1:2" ht="21" x14ac:dyDescent="0.4">
      <c r="A1" s="63"/>
      <c r="B1" s="51" t="s">
        <v>6</v>
      </c>
    </row>
    <row r="2" spans="1:2" ht="16.2" thickBot="1" x14ac:dyDescent="0.35"/>
    <row r="3" spans="1:2" ht="18.75" customHeight="1" thickBot="1" x14ac:dyDescent="0.35">
      <c r="A3" s="185"/>
      <c r="B3" s="186" t="s">
        <v>103</v>
      </c>
    </row>
    <row r="4" spans="1:2" ht="18.75" customHeight="1" thickBot="1" x14ac:dyDescent="0.35"/>
    <row r="5" spans="1:2" ht="18.75" customHeight="1" x14ac:dyDescent="0.3">
      <c r="A5" s="64" t="s">
        <v>1</v>
      </c>
      <c r="B5" s="65" t="s">
        <v>71</v>
      </c>
    </row>
    <row r="6" spans="1:2" ht="18.75" customHeight="1" x14ac:dyDescent="0.3">
      <c r="A6" s="66" t="s">
        <v>2</v>
      </c>
      <c r="B6" s="67" t="s">
        <v>37</v>
      </c>
    </row>
    <row r="7" spans="1:2" ht="18.75" customHeight="1" thickBot="1" x14ac:dyDescent="0.35">
      <c r="A7" s="68" t="s">
        <v>66</v>
      </c>
      <c r="B7" s="69" t="s">
        <v>67</v>
      </c>
    </row>
    <row r="8" spans="1:2" ht="18.75" customHeight="1" thickBot="1" x14ac:dyDescent="0.35"/>
    <row r="9" spans="1:2" ht="18.75" customHeight="1" x14ac:dyDescent="0.3">
      <c r="A9" s="64" t="s">
        <v>3</v>
      </c>
      <c r="B9" s="65" t="s">
        <v>26</v>
      </c>
    </row>
    <row r="10" spans="1:2" ht="18.75" customHeight="1" thickBot="1" x14ac:dyDescent="0.35">
      <c r="A10" s="68" t="s">
        <v>4</v>
      </c>
      <c r="B10" s="69" t="s">
        <v>27</v>
      </c>
    </row>
    <row r="11" spans="1:2" ht="18.75" customHeight="1" thickBot="1" x14ac:dyDescent="0.35">
      <c r="B11" s="8"/>
    </row>
    <row r="12" spans="1:2" ht="18.75" customHeight="1" x14ac:dyDescent="0.3">
      <c r="A12" s="64" t="s">
        <v>5</v>
      </c>
      <c r="B12" s="65" t="s">
        <v>14</v>
      </c>
    </row>
    <row r="13" spans="1:2" ht="18.75" customHeight="1" x14ac:dyDescent="0.3">
      <c r="A13" s="66" t="s">
        <v>9</v>
      </c>
      <c r="B13" s="67" t="s">
        <v>10</v>
      </c>
    </row>
    <row r="14" spans="1:2" ht="18.75" customHeight="1" thickBot="1" x14ac:dyDescent="0.35">
      <c r="A14" s="68" t="s">
        <v>12</v>
      </c>
      <c r="B14" s="69" t="s">
        <v>11</v>
      </c>
    </row>
    <row r="15" spans="1:2" ht="18.75" customHeight="1" thickBot="1" x14ac:dyDescent="0.35"/>
    <row r="16" spans="1:2" ht="18.75" customHeight="1" x14ac:dyDescent="0.3">
      <c r="A16" s="64" t="s">
        <v>16</v>
      </c>
      <c r="B16" s="65" t="s">
        <v>18</v>
      </c>
    </row>
    <row r="17" spans="1:2" ht="18.75" customHeight="1" x14ac:dyDescent="0.3">
      <c r="A17" s="66" t="s">
        <v>17</v>
      </c>
      <c r="B17" s="67" t="s">
        <v>28</v>
      </c>
    </row>
    <row r="18" spans="1:2" ht="18.75" customHeight="1" x14ac:dyDescent="0.3">
      <c r="A18" s="66" t="s">
        <v>52</v>
      </c>
      <c r="B18" s="67" t="s">
        <v>53</v>
      </c>
    </row>
    <row r="19" spans="1:2" ht="18.75" customHeight="1" x14ac:dyDescent="0.3">
      <c r="A19" s="66" t="s">
        <v>59</v>
      </c>
      <c r="B19" s="67" t="s">
        <v>58</v>
      </c>
    </row>
    <row r="20" spans="1:2" ht="18.75" customHeight="1" thickBot="1" x14ac:dyDescent="0.35">
      <c r="A20" s="68" t="s">
        <v>94</v>
      </c>
      <c r="B20" s="69" t="s">
        <v>95</v>
      </c>
    </row>
  </sheetData>
  <phoneticPr fontId="13" type="noConversion"/>
  <printOptions horizontalCentered="1"/>
  <pageMargins left="0.77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  <pageSetUpPr fitToPage="1"/>
  </sheetPr>
  <dimension ref="A1:E23"/>
  <sheetViews>
    <sheetView zoomScale="65" zoomScaleNormal="75" workbookViewId="0">
      <selection activeCell="D4" sqref="D4"/>
    </sheetView>
  </sheetViews>
  <sheetFormatPr defaultColWidth="8.90625" defaultRowHeight="15" x14ac:dyDescent="0.25"/>
  <cols>
    <col min="1" max="1" width="42" style="8" customWidth="1"/>
    <col min="2" max="4" width="13.1796875" style="8" customWidth="1"/>
    <col min="5" max="5" width="15.1796875" style="8" customWidth="1"/>
    <col min="6" max="16384" width="8.90625" style="8"/>
  </cols>
  <sheetData>
    <row r="1" spans="1:5" ht="15.6" x14ac:dyDescent="0.3">
      <c r="A1" s="9" t="s">
        <v>35</v>
      </c>
    </row>
    <row r="2" spans="1:5" ht="15.6" thickBot="1" x14ac:dyDescent="0.3"/>
    <row r="3" spans="1:5" ht="15.6" x14ac:dyDescent="0.3">
      <c r="A3" s="173"/>
      <c r="B3" s="174">
        <v>1</v>
      </c>
      <c r="C3" s="505">
        <f>B3+1</f>
        <v>2</v>
      </c>
      <c r="D3" s="505">
        <f t="shared" ref="D3:E3" si="0">C3+1</f>
        <v>3</v>
      </c>
      <c r="E3" s="205">
        <f t="shared" si="0"/>
        <v>4</v>
      </c>
    </row>
    <row r="4" spans="1:5" s="113" customFormat="1" ht="139.5" customHeight="1" thickBot="1" x14ac:dyDescent="0.3">
      <c r="A4" s="172"/>
      <c r="B4" s="168" t="s">
        <v>379</v>
      </c>
      <c r="C4" s="384" t="s">
        <v>253</v>
      </c>
      <c r="D4" s="593" t="s">
        <v>380</v>
      </c>
      <c r="E4" s="401" t="s">
        <v>238</v>
      </c>
    </row>
    <row r="5" spans="1:5" s="113" customFormat="1" ht="16.5" customHeight="1" x14ac:dyDescent="0.25">
      <c r="A5" s="114"/>
      <c r="B5" s="182" t="s">
        <v>15</v>
      </c>
      <c r="C5" s="167" t="s">
        <v>15</v>
      </c>
      <c r="D5" s="167" t="s">
        <v>15</v>
      </c>
      <c r="E5" s="402" t="s">
        <v>15</v>
      </c>
    </row>
    <row r="6" spans="1:5" s="113" customFormat="1" ht="16.5" customHeight="1" x14ac:dyDescent="0.25">
      <c r="A6" s="118"/>
      <c r="B6" s="166"/>
      <c r="C6" s="181"/>
      <c r="D6" s="181"/>
      <c r="E6" s="235"/>
    </row>
    <row r="7" spans="1:5" ht="16.5" customHeight="1" x14ac:dyDescent="0.3">
      <c r="A7" s="2" t="s">
        <v>20</v>
      </c>
      <c r="B7" s="212">
        <v>32.654055999999997</v>
      </c>
      <c r="C7" s="213"/>
      <c r="D7" s="213">
        <v>1.9890000000000001</v>
      </c>
      <c r="E7" s="403">
        <f>SUM(B7:D7)</f>
        <v>34.643055999999994</v>
      </c>
    </row>
    <row r="8" spans="1:5" ht="13.5" customHeight="1" x14ac:dyDescent="0.25">
      <c r="A8" s="2"/>
      <c r="B8" s="214"/>
      <c r="C8" s="215"/>
      <c r="D8" s="215"/>
      <c r="E8" s="404"/>
    </row>
    <row r="9" spans="1:5" ht="13.5" customHeight="1" x14ac:dyDescent="0.3">
      <c r="A9" s="2" t="s">
        <v>29</v>
      </c>
      <c r="B9" s="212">
        <v>31.470699999999997</v>
      </c>
      <c r="C9" s="213">
        <v>0.25</v>
      </c>
      <c r="D9" s="213">
        <v>1.968</v>
      </c>
      <c r="E9" s="403">
        <f>SUM(B9:D9)</f>
        <v>33.688699999999997</v>
      </c>
    </row>
    <row r="10" spans="1:5" ht="13.5" customHeight="1" x14ac:dyDescent="0.25">
      <c r="A10" s="1"/>
      <c r="B10" s="216"/>
      <c r="C10" s="217"/>
      <c r="D10" s="217"/>
      <c r="E10" s="405"/>
    </row>
    <row r="11" spans="1:5" ht="16.5" customHeight="1" x14ac:dyDescent="0.3">
      <c r="A11" s="2" t="s">
        <v>21</v>
      </c>
      <c r="B11" s="212">
        <v>29.106000000000002</v>
      </c>
      <c r="C11" s="213"/>
      <c r="D11" s="213">
        <v>1.742</v>
      </c>
      <c r="E11" s="403">
        <f>SUM(B11:D11)</f>
        <v>30.848000000000003</v>
      </c>
    </row>
    <row r="12" spans="1:5" ht="13.5" customHeight="1" x14ac:dyDescent="0.25">
      <c r="A12" s="2"/>
      <c r="B12" s="214"/>
      <c r="C12" s="215"/>
      <c r="D12" s="215"/>
      <c r="E12" s="404"/>
    </row>
    <row r="13" spans="1:5" ht="18" customHeight="1" x14ac:dyDescent="0.3">
      <c r="A13" s="2" t="s">
        <v>134</v>
      </c>
      <c r="B13" s="212">
        <v>23.502640244454394</v>
      </c>
      <c r="C13" s="213"/>
      <c r="D13" s="213">
        <v>1.4790000000000001</v>
      </c>
      <c r="E13" s="403">
        <f>SUM(B13:D13)</f>
        <v>24.981640244454393</v>
      </c>
    </row>
    <row r="14" spans="1:5" ht="13.5" customHeight="1" x14ac:dyDescent="0.25">
      <c r="A14" s="2"/>
      <c r="B14" s="214"/>
      <c r="C14" s="215"/>
      <c r="D14" s="215"/>
      <c r="E14" s="404"/>
    </row>
    <row r="15" spans="1:5" ht="16.5" customHeight="1" x14ac:dyDescent="0.3">
      <c r="A15" s="2" t="s">
        <v>23</v>
      </c>
      <c r="B15" s="156">
        <v>19.7286</v>
      </c>
      <c r="C15" s="154"/>
      <c r="D15" s="154">
        <v>1.155</v>
      </c>
      <c r="E15" s="403">
        <f>SUM(B15:D15)</f>
        <v>20.883600000000001</v>
      </c>
    </row>
    <row r="16" spans="1:5" ht="13.5" customHeight="1" x14ac:dyDescent="0.25">
      <c r="A16" s="1"/>
      <c r="B16" s="157"/>
      <c r="C16" s="155"/>
      <c r="D16" s="155"/>
      <c r="E16" s="404"/>
    </row>
    <row r="17" spans="1:5" s="9" customFormat="1" ht="18.75" customHeight="1" x14ac:dyDescent="0.3">
      <c r="A17" s="140" t="s">
        <v>22</v>
      </c>
      <c r="B17" s="156">
        <v>7.1285000000000016</v>
      </c>
      <c r="C17" s="154"/>
      <c r="D17" s="154">
        <v>0.44600000000000001</v>
      </c>
      <c r="E17" s="403">
        <f>SUM(B17:D17)</f>
        <v>7.5745000000000013</v>
      </c>
    </row>
    <row r="18" spans="1:5" s="9" customFormat="1" ht="14.25" customHeight="1" x14ac:dyDescent="0.3">
      <c r="A18" s="220"/>
      <c r="B18" s="156"/>
      <c r="C18" s="154"/>
      <c r="D18" s="154"/>
      <c r="E18" s="406"/>
    </row>
    <row r="19" spans="1:5" ht="18" customHeight="1" x14ac:dyDescent="0.3">
      <c r="A19" s="2" t="s">
        <v>135</v>
      </c>
      <c r="B19" s="212">
        <v>23.707351755545616</v>
      </c>
      <c r="C19" s="213"/>
      <c r="D19" s="213">
        <v>1.405</v>
      </c>
      <c r="E19" s="403">
        <f>SUM(B19:D19)</f>
        <v>25.112351755545617</v>
      </c>
    </row>
    <row r="20" spans="1:5" ht="13.5" customHeight="1" thickBot="1" x14ac:dyDescent="0.3">
      <c r="A20" s="139"/>
      <c r="B20" s="158"/>
      <c r="C20" s="206"/>
      <c r="D20" s="206"/>
      <c r="E20" s="407"/>
    </row>
    <row r="21" spans="1:5" s="9" customFormat="1" ht="16.2" thickBot="1" x14ac:dyDescent="0.35">
      <c r="A21" s="117" t="s">
        <v>0</v>
      </c>
      <c r="B21" s="385">
        <f t="shared" ref="B21:E21" si="1">SUM(B7:B19)</f>
        <v>167.29784799999999</v>
      </c>
      <c r="C21" s="387">
        <f t="shared" si="1"/>
        <v>0.25</v>
      </c>
      <c r="D21" s="386">
        <f t="shared" si="1"/>
        <v>10.183999999999999</v>
      </c>
      <c r="E21" s="408">
        <f t="shared" si="1"/>
        <v>177.73184800000001</v>
      </c>
    </row>
    <row r="23" spans="1:5" x14ac:dyDescent="0.25">
      <c r="B23" s="178"/>
      <c r="C23" s="178"/>
      <c r="D23" s="413"/>
    </row>
  </sheetData>
  <phoneticPr fontId="13" type="noConversion"/>
  <pageMargins left="0.2" right="0.28000000000000003" top="0.39370078740157483" bottom="0.47" header="0.31496062992125984" footer="0.3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tabColor rgb="FFFFFF99"/>
    <pageSetUpPr fitToPage="1"/>
  </sheetPr>
  <dimension ref="A1:J21"/>
  <sheetViews>
    <sheetView showGridLines="0" zoomScale="80" zoomScaleNormal="80" workbookViewId="0">
      <selection activeCell="G6" sqref="G6"/>
    </sheetView>
  </sheetViews>
  <sheetFormatPr defaultColWidth="8.90625" defaultRowHeight="15" x14ac:dyDescent="0.25"/>
  <cols>
    <col min="1" max="1" width="39.81640625" style="11" customWidth="1"/>
    <col min="2" max="2" width="13.453125" style="83" customWidth="1"/>
    <col min="3" max="3" width="12.7265625" style="83" customWidth="1"/>
    <col min="4" max="4" width="13.453125" style="83" customWidth="1"/>
    <col min="5" max="16384" width="8.90625" style="11"/>
  </cols>
  <sheetData>
    <row r="1" spans="1:10" ht="15.6" x14ac:dyDescent="0.3">
      <c r="A1" s="9" t="s">
        <v>51</v>
      </c>
      <c r="B1" s="75"/>
      <c r="C1" s="75"/>
      <c r="D1" s="75"/>
    </row>
    <row r="2" spans="1:10" ht="16.2" thickBot="1" x14ac:dyDescent="0.3">
      <c r="A2" s="12" t="s">
        <v>104</v>
      </c>
      <c r="B2" s="75"/>
      <c r="C2" s="75"/>
      <c r="D2" s="75"/>
    </row>
    <row r="3" spans="1:10" s="77" customFormat="1" ht="15" customHeight="1" x14ac:dyDescent="0.25">
      <c r="A3" s="13"/>
      <c r="B3" s="296">
        <v>1</v>
      </c>
      <c r="C3" s="296">
        <f>B3+1</f>
        <v>2</v>
      </c>
      <c r="D3" s="296">
        <f>C3+1</f>
        <v>3</v>
      </c>
      <c r="E3" s="76"/>
      <c r="F3" s="76"/>
      <c r="G3" s="76"/>
      <c r="H3" s="76"/>
      <c r="I3" s="76"/>
      <c r="J3" s="76"/>
    </row>
    <row r="4" spans="1:10" s="78" customFormat="1" ht="111" customHeight="1" x14ac:dyDescent="0.25">
      <c r="A4" s="98"/>
      <c r="B4" s="187" t="s">
        <v>361</v>
      </c>
      <c r="C4" s="187" t="s">
        <v>381</v>
      </c>
      <c r="D4" s="187" t="s">
        <v>239</v>
      </c>
      <c r="E4" s="76"/>
      <c r="F4" s="76"/>
      <c r="G4" s="76"/>
      <c r="H4" s="76"/>
      <c r="I4" s="76"/>
    </row>
    <row r="5" spans="1:10" s="79" customFormat="1" ht="18.75" customHeight="1" x14ac:dyDescent="0.25">
      <c r="A5" s="57" t="s">
        <v>7</v>
      </c>
      <c r="B5" s="188" t="s">
        <v>15</v>
      </c>
      <c r="C5" s="188" t="s">
        <v>15</v>
      </c>
      <c r="D5" s="188" t="s">
        <v>15</v>
      </c>
    </row>
    <row r="6" spans="1:10" s="14" customFormat="1" ht="15.6" x14ac:dyDescent="0.25">
      <c r="A6" s="80"/>
      <c r="B6" s="189"/>
      <c r="C6" s="189"/>
      <c r="D6" s="189"/>
    </row>
    <row r="7" spans="1:10" s="18" customFormat="1" ht="15.6" x14ac:dyDescent="0.25">
      <c r="A7" s="2" t="s">
        <v>20</v>
      </c>
      <c r="B7" s="190">
        <v>3.2473700000000005</v>
      </c>
      <c r="C7" s="190">
        <v>0.15470999999999999</v>
      </c>
      <c r="D7" s="190">
        <f>SUM(B7:C7)</f>
        <v>3.4020800000000007</v>
      </c>
    </row>
    <row r="8" spans="1:10" s="18" customFormat="1" ht="15.6" x14ac:dyDescent="0.25">
      <c r="A8" s="2"/>
      <c r="B8" s="190"/>
      <c r="C8" s="190"/>
      <c r="D8" s="190"/>
    </row>
    <row r="9" spans="1:10" s="18" customFormat="1" ht="15.6" x14ac:dyDescent="0.25">
      <c r="A9" s="2" t="s">
        <v>29</v>
      </c>
      <c r="B9" s="190">
        <v>6.0832900000000008</v>
      </c>
      <c r="C9" s="190">
        <v>0.18063000000000001</v>
      </c>
      <c r="D9" s="190">
        <f>SUM(B9:C9)</f>
        <v>6.2639200000000006</v>
      </c>
    </row>
    <row r="10" spans="1:10" x14ac:dyDescent="0.25">
      <c r="A10" s="1"/>
      <c r="B10" s="191"/>
      <c r="C10" s="191"/>
      <c r="D10" s="191"/>
    </row>
    <row r="11" spans="1:10" ht="15.6" x14ac:dyDescent="0.25">
      <c r="A11" s="2" t="s">
        <v>21</v>
      </c>
      <c r="B11" s="190">
        <v>2.8056000000000001</v>
      </c>
      <c r="C11" s="190">
        <v>0.11015999999999999</v>
      </c>
      <c r="D11" s="190">
        <f>SUM(B11:C11)</f>
        <v>2.9157600000000001</v>
      </c>
    </row>
    <row r="12" spans="1:10" ht="15.6" x14ac:dyDescent="0.25">
      <c r="A12" s="2"/>
      <c r="B12" s="190"/>
      <c r="C12" s="190"/>
      <c r="D12" s="190"/>
    </row>
    <row r="13" spans="1:10" s="18" customFormat="1" ht="15.6" x14ac:dyDescent="0.25">
      <c r="A13" s="2" t="s">
        <v>134</v>
      </c>
      <c r="B13" s="190">
        <v>3.9104700000000001</v>
      </c>
      <c r="C13" s="190">
        <v>0.12069000000000001</v>
      </c>
      <c r="D13" s="190">
        <f>SUM(B13:C13)</f>
        <v>4.0311599999999999</v>
      </c>
    </row>
    <row r="14" spans="1:10" s="18" customFormat="1" ht="15.6" x14ac:dyDescent="0.25">
      <c r="A14" s="2"/>
      <c r="B14" s="190"/>
      <c r="C14" s="190"/>
      <c r="D14" s="190"/>
    </row>
    <row r="15" spans="1:10" s="18" customFormat="1" ht="15.6" x14ac:dyDescent="0.25">
      <c r="A15" s="2" t="s">
        <v>23</v>
      </c>
      <c r="B15" s="190">
        <v>2.3058040000000002</v>
      </c>
      <c r="C15" s="190">
        <v>0.10449</v>
      </c>
      <c r="D15" s="190">
        <f>SUM(B15:C15)</f>
        <v>2.4102940000000004</v>
      </c>
    </row>
    <row r="16" spans="1:10" x14ac:dyDescent="0.25">
      <c r="A16" s="1"/>
      <c r="B16" s="191"/>
      <c r="C16" s="191"/>
      <c r="D16" s="191"/>
    </row>
    <row r="17" spans="1:4" ht="15.6" x14ac:dyDescent="0.25">
      <c r="A17" s="88" t="s">
        <v>22</v>
      </c>
      <c r="B17" s="190">
        <v>0.68017000000000016</v>
      </c>
      <c r="C17" s="190">
        <v>3.5639999999999998E-2</v>
      </c>
      <c r="D17" s="190">
        <f>SUM(B17:C17)</f>
        <v>0.71581000000000017</v>
      </c>
    </row>
    <row r="18" spans="1:4" ht="15.6" x14ac:dyDescent="0.25">
      <c r="A18" s="88"/>
      <c r="B18" s="221"/>
      <c r="C18" s="221"/>
      <c r="D18" s="221"/>
    </row>
    <row r="19" spans="1:4" s="18" customFormat="1" ht="15.6" x14ac:dyDescent="0.25">
      <c r="A19" s="2" t="s">
        <v>135</v>
      </c>
      <c r="B19" s="190">
        <v>3.0692899999999996</v>
      </c>
      <c r="C19" s="190">
        <v>0.10367999999999999</v>
      </c>
      <c r="D19" s="190">
        <f>SUM(B19:C19)</f>
        <v>3.1729699999999994</v>
      </c>
    </row>
    <row r="20" spans="1:4" ht="16.5" customHeight="1" thickBot="1" x14ac:dyDescent="0.3">
      <c r="A20" s="106"/>
      <c r="B20" s="192"/>
      <c r="C20" s="192"/>
      <c r="D20" s="192"/>
    </row>
    <row r="21" spans="1:4" s="23" customFormat="1" ht="16.2" thickBot="1" x14ac:dyDescent="0.3">
      <c r="A21" s="82" t="s">
        <v>0</v>
      </c>
      <c r="B21" s="193">
        <f>B17+B15+B13+B11+B9+B7+B19</f>
        <v>22.101994000000001</v>
      </c>
      <c r="C21" s="193">
        <f t="shared" ref="C21:D21" si="0">C17+C15+C13+C11+C9+C7+C19</f>
        <v>0.80999999999999994</v>
      </c>
      <c r="D21" s="193">
        <f t="shared" si="0"/>
        <v>22.911994000000004</v>
      </c>
    </row>
  </sheetData>
  <phoneticPr fontId="13" type="noConversion"/>
  <printOptions horizontalCentered="1"/>
  <pageMargins left="0.77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99"/>
    <pageSetUpPr fitToPage="1"/>
  </sheetPr>
  <dimension ref="A1:K26"/>
  <sheetViews>
    <sheetView zoomScale="70" workbookViewId="0">
      <selection activeCell="M11" sqref="M11"/>
    </sheetView>
  </sheetViews>
  <sheetFormatPr defaultRowHeight="15" x14ac:dyDescent="0.25"/>
  <cols>
    <col min="1" max="1" width="40.90625" customWidth="1"/>
    <col min="2" max="2" width="12.90625" customWidth="1"/>
    <col min="3" max="3" width="14.1796875" style="242" customWidth="1"/>
    <col min="4" max="4" width="15.1796875" style="242" customWidth="1"/>
    <col min="5" max="5" width="15.6328125" style="242" customWidth="1"/>
    <col min="6" max="7" width="14.81640625" style="242" customWidth="1"/>
    <col min="8" max="10" width="11.81640625" style="242" customWidth="1"/>
    <col min="11" max="11" width="12.81640625" style="242" customWidth="1"/>
    <col min="12" max="12" width="11.81640625" customWidth="1"/>
  </cols>
  <sheetData>
    <row r="1" spans="1:11" ht="15.6" x14ac:dyDescent="0.3">
      <c r="A1" s="9" t="s">
        <v>125</v>
      </c>
    </row>
    <row r="2" spans="1:11" ht="15.6" thickBot="1" x14ac:dyDescent="0.3"/>
    <row r="3" spans="1:11" ht="16.2" thickBot="1" x14ac:dyDescent="0.3">
      <c r="A3" s="13"/>
      <c r="B3" s="332">
        <v>1</v>
      </c>
      <c r="C3" s="333">
        <f>B3+1</f>
        <v>2</v>
      </c>
      <c r="D3" s="333">
        <f t="shared" ref="D3" si="0">C3+1</f>
        <v>3</v>
      </c>
      <c r="E3" s="333">
        <f t="shared" ref="E3" si="1">D3+1</f>
        <v>4</v>
      </c>
      <c r="F3" s="333">
        <f t="shared" ref="F3" si="2">E3+1</f>
        <v>5</v>
      </c>
      <c r="G3" s="333">
        <f t="shared" ref="G3" si="3">F3+1</f>
        <v>6</v>
      </c>
      <c r="H3" s="332">
        <f t="shared" ref="H3" si="4">G3+1</f>
        <v>7</v>
      </c>
      <c r="I3" s="332">
        <f t="shared" ref="I3" si="5">H3+1</f>
        <v>8</v>
      </c>
      <c r="J3" s="332">
        <f t="shared" ref="J3" si="6">I3+1</f>
        <v>9</v>
      </c>
      <c r="K3" s="338">
        <f t="shared" ref="K3" si="7">J3+1</f>
        <v>10</v>
      </c>
    </row>
    <row r="4" spans="1:11" ht="125.4" thickBot="1" x14ac:dyDescent="0.3">
      <c r="A4" s="327"/>
      <c r="B4" s="339" t="s">
        <v>220</v>
      </c>
      <c r="C4" s="340" t="s">
        <v>382</v>
      </c>
      <c r="D4" s="584" t="s">
        <v>383</v>
      </c>
      <c r="E4" s="585" t="s">
        <v>384</v>
      </c>
      <c r="F4" s="585" t="s">
        <v>385</v>
      </c>
      <c r="G4" s="341" t="s">
        <v>386</v>
      </c>
      <c r="H4" s="342" t="s">
        <v>30</v>
      </c>
      <c r="I4" s="340" t="s">
        <v>31</v>
      </c>
      <c r="J4" s="343" t="s">
        <v>32</v>
      </c>
      <c r="K4" s="344" t="s">
        <v>240</v>
      </c>
    </row>
    <row r="5" spans="1:11" ht="15.6" thickBot="1" x14ac:dyDescent="0.3">
      <c r="A5" s="328" t="s">
        <v>7</v>
      </c>
      <c r="B5" s="352" t="s">
        <v>15</v>
      </c>
      <c r="C5" s="353" t="s">
        <v>15</v>
      </c>
      <c r="D5" s="353" t="s">
        <v>15</v>
      </c>
      <c r="E5" s="353" t="s">
        <v>15</v>
      </c>
      <c r="F5" s="354" t="s">
        <v>15</v>
      </c>
      <c r="G5" s="355" t="s">
        <v>15</v>
      </c>
      <c r="H5" s="356" t="s">
        <v>15</v>
      </c>
      <c r="I5" s="353" t="s">
        <v>15</v>
      </c>
      <c r="J5" s="357" t="s">
        <v>15</v>
      </c>
      <c r="K5" s="358" t="s">
        <v>15</v>
      </c>
    </row>
    <row r="6" spans="1:11" ht="15.6" x14ac:dyDescent="0.25">
      <c r="A6" s="329"/>
      <c r="B6" s="345"/>
      <c r="C6" s="346"/>
      <c r="D6" s="346"/>
      <c r="E6" s="347"/>
      <c r="F6" s="347"/>
      <c r="G6" s="348"/>
      <c r="H6" s="349"/>
      <c r="I6" s="346"/>
      <c r="J6" s="350"/>
      <c r="K6" s="351"/>
    </row>
    <row r="7" spans="1:11" ht="15.6" x14ac:dyDescent="0.25">
      <c r="A7" s="86" t="s">
        <v>20</v>
      </c>
      <c r="B7" s="334">
        <v>112.7619109</v>
      </c>
      <c r="C7" s="359">
        <v>5.0736999999999997E-2</v>
      </c>
      <c r="D7" s="359">
        <v>4.6875E-2</v>
      </c>
      <c r="E7" s="360">
        <v>9.3749999999999997E-3</v>
      </c>
      <c r="F7" s="360">
        <v>4.8843329999999998</v>
      </c>
      <c r="G7" s="361">
        <f>SUM(B7:F7)</f>
        <v>117.75323090000001</v>
      </c>
      <c r="H7" s="362">
        <v>7.7569999999999997</v>
      </c>
      <c r="I7" s="359">
        <v>0.78400000000000003</v>
      </c>
      <c r="J7" s="99">
        <v>3.8740000000000001</v>
      </c>
      <c r="K7" s="331">
        <f>G7+H7+I7+J7</f>
        <v>130.16823090000003</v>
      </c>
    </row>
    <row r="8" spans="1:11" ht="15.6" x14ac:dyDescent="0.25">
      <c r="A8" s="86"/>
      <c r="B8" s="334"/>
      <c r="C8" s="359"/>
      <c r="D8" s="359"/>
      <c r="E8" s="360"/>
      <c r="F8" s="360"/>
      <c r="G8" s="361"/>
      <c r="H8" s="362"/>
      <c r="I8" s="359"/>
      <c r="J8" s="99"/>
      <c r="K8" s="331"/>
    </row>
    <row r="9" spans="1:11" ht="15.6" x14ac:dyDescent="0.25">
      <c r="A9" s="55" t="s">
        <v>68</v>
      </c>
      <c r="B9" s="334">
        <v>152.05339699999996</v>
      </c>
      <c r="C9" s="363">
        <v>7.8334000000000001E-2</v>
      </c>
      <c r="D9" s="363">
        <v>5.5750000000000001E-2</v>
      </c>
      <c r="E9" s="388">
        <v>1.115E-2</v>
      </c>
      <c r="F9" s="360">
        <v>5.7578199999999997</v>
      </c>
      <c r="G9" s="361">
        <f>SUM(B9:F9)</f>
        <v>157.95645099999996</v>
      </c>
      <c r="H9" s="364">
        <v>9.24</v>
      </c>
      <c r="I9" s="363">
        <v>1.2969999999999999</v>
      </c>
      <c r="J9" s="365">
        <v>5.5570000000000004</v>
      </c>
      <c r="K9" s="331">
        <f>G9+H9+I9+J9</f>
        <v>174.05045099999995</v>
      </c>
    </row>
    <row r="10" spans="1:11" ht="15.6" x14ac:dyDescent="0.25">
      <c r="A10" s="86"/>
      <c r="B10" s="334"/>
      <c r="C10" s="359"/>
      <c r="D10" s="359"/>
      <c r="E10" s="360"/>
      <c r="F10" s="360"/>
      <c r="G10" s="361"/>
      <c r="H10" s="362"/>
      <c r="I10" s="359"/>
      <c r="J10" s="99"/>
      <c r="K10" s="331"/>
    </row>
    <row r="11" spans="1:11" ht="15.6" x14ac:dyDescent="0.25">
      <c r="A11" s="86" t="s">
        <v>21</v>
      </c>
      <c r="B11" s="334">
        <v>112.83975259999998</v>
      </c>
      <c r="C11" s="359">
        <v>3.6380000000000003E-2</v>
      </c>
      <c r="D11" s="359">
        <v>3.9574999999999999E-2</v>
      </c>
      <c r="E11" s="360">
        <v>7.9150000000000002E-3</v>
      </c>
      <c r="F11" s="360">
        <v>3.9022899999999998</v>
      </c>
      <c r="G11" s="361">
        <f>SUM(B11:F11)</f>
        <v>116.82591259999997</v>
      </c>
      <c r="H11" s="362">
        <v>5.1769999999999996</v>
      </c>
      <c r="I11" s="359">
        <v>1.151</v>
      </c>
      <c r="J11" s="99">
        <v>3.173</v>
      </c>
      <c r="K11" s="331">
        <f>G11+H11+I11+J11</f>
        <v>126.32691259999997</v>
      </c>
    </row>
    <row r="12" spans="1:11" ht="15.6" x14ac:dyDescent="0.25">
      <c r="A12" s="86"/>
      <c r="B12" s="335"/>
      <c r="C12" s="366"/>
      <c r="D12" s="366"/>
      <c r="E12" s="367"/>
      <c r="F12" s="367"/>
      <c r="G12" s="368"/>
      <c r="H12" s="362"/>
      <c r="I12" s="359"/>
      <c r="J12" s="99"/>
      <c r="K12" s="331"/>
    </row>
    <row r="13" spans="1:11" ht="15.6" x14ac:dyDescent="0.25">
      <c r="A13" s="86" t="s">
        <v>134</v>
      </c>
      <c r="B13" s="334">
        <v>108.90750693796552</v>
      </c>
      <c r="C13" s="359">
        <f>0.039136</f>
        <v>3.9135999999999997E-2</v>
      </c>
      <c r="D13" s="359">
        <f>-0.25+0.0355</f>
        <v>-0.2145</v>
      </c>
      <c r="E13" s="360">
        <f>-0.05+0.0071</f>
        <v>-4.2900000000000001E-2</v>
      </c>
      <c r="F13" s="360">
        <v>3.8609399999999998</v>
      </c>
      <c r="G13" s="361">
        <f>SUM(B13:F13)</f>
        <v>112.55018293796552</v>
      </c>
      <c r="H13" s="362">
        <f>3.837+2.137</f>
        <v>5.9740000000000002</v>
      </c>
      <c r="I13" s="359">
        <f>0.691+0.533</f>
        <v>1.224</v>
      </c>
      <c r="J13" s="99">
        <f>2.063+0.937</f>
        <v>3</v>
      </c>
      <c r="K13" s="331">
        <f>G13+H13+I13+J13</f>
        <v>122.74818293796552</v>
      </c>
    </row>
    <row r="14" spans="1:11" x14ac:dyDescent="0.25">
      <c r="A14" s="62"/>
      <c r="B14" s="336"/>
      <c r="C14" s="369"/>
      <c r="D14" s="369"/>
      <c r="E14" s="370"/>
      <c r="F14" s="370"/>
      <c r="G14" s="371"/>
      <c r="H14" s="372"/>
      <c r="I14" s="369"/>
      <c r="J14" s="373"/>
      <c r="K14" s="374"/>
    </row>
    <row r="15" spans="1:11" ht="15.6" x14ac:dyDescent="0.25">
      <c r="A15" s="86" t="s">
        <v>23</v>
      </c>
      <c r="B15" s="334">
        <v>88.069311299999967</v>
      </c>
      <c r="C15" s="359">
        <f>0.0417</f>
        <v>4.1700000000000001E-2</v>
      </c>
      <c r="D15" s="359">
        <v>3.0724999999999999E-2</v>
      </c>
      <c r="E15" s="360">
        <v>6.1450000000000003E-3</v>
      </c>
      <c r="F15" s="360">
        <v>3.1890299999999998</v>
      </c>
      <c r="G15" s="361">
        <f>SUM(B15:F15)</f>
        <v>91.336911299999983</v>
      </c>
      <c r="H15" s="362">
        <v>4.6749999999999998</v>
      </c>
      <c r="I15" s="359">
        <v>0.72</v>
      </c>
      <c r="J15" s="99">
        <v>2.4449999999999998</v>
      </c>
      <c r="K15" s="331">
        <f>G15+H15+I15+J15</f>
        <v>99.176911299999972</v>
      </c>
    </row>
    <row r="16" spans="1:11" ht="15.6" x14ac:dyDescent="0.25">
      <c r="A16" s="86"/>
      <c r="B16" s="334"/>
      <c r="C16" s="359"/>
      <c r="D16" s="359"/>
      <c r="F16" s="360"/>
      <c r="G16" s="361"/>
      <c r="H16" s="362"/>
      <c r="I16" s="359"/>
      <c r="J16" s="99"/>
      <c r="K16" s="331"/>
    </row>
    <row r="17" spans="1:11" ht="15.6" x14ac:dyDescent="0.25">
      <c r="A17" s="86" t="s">
        <v>22</v>
      </c>
      <c r="B17" s="334">
        <v>31.837059299999996</v>
      </c>
      <c r="C17" s="359">
        <f>0.022663</f>
        <v>2.2662999999999999E-2</v>
      </c>
      <c r="D17" s="359">
        <v>1.0525E-2</v>
      </c>
      <c r="E17" s="360">
        <v>2.1050000000000001E-3</v>
      </c>
      <c r="F17" s="360">
        <v>1.0621499999999999</v>
      </c>
      <c r="G17" s="361">
        <f>SUM(B17:F17)</f>
        <v>32.934502299999998</v>
      </c>
      <c r="H17" s="362">
        <v>1.0620000000000001</v>
      </c>
      <c r="I17" s="359">
        <v>0.34499999999999997</v>
      </c>
      <c r="J17" s="99">
        <v>2.1240000000000001</v>
      </c>
      <c r="K17" s="331">
        <f>G17+H17+I17+J17</f>
        <v>36.465502299999997</v>
      </c>
    </row>
    <row r="18" spans="1:11" ht="15.6" x14ac:dyDescent="0.25">
      <c r="A18" s="86"/>
      <c r="B18" s="334"/>
      <c r="C18" s="359"/>
      <c r="E18" s="360"/>
      <c r="F18" s="360"/>
      <c r="G18" s="361"/>
      <c r="H18" s="362"/>
      <c r="I18" s="359"/>
      <c r="J18" s="99"/>
      <c r="K18" s="331"/>
    </row>
    <row r="19" spans="1:11" ht="15.6" x14ac:dyDescent="0.25">
      <c r="A19" s="86" t="s">
        <v>135</v>
      </c>
      <c r="B19" s="334">
        <v>98.344722262034509</v>
      </c>
      <c r="C19" s="359">
        <v>3.1050000000000001E-2</v>
      </c>
      <c r="D19" s="359">
        <v>3.1050000000000001E-2</v>
      </c>
      <c r="E19" s="360">
        <v>6.2100000000000002E-3</v>
      </c>
      <c r="F19" s="360">
        <v>3.1864400000000002</v>
      </c>
      <c r="G19" s="361">
        <f>SUM(B19:F19)</f>
        <v>101.5994722620345</v>
      </c>
      <c r="H19" s="362">
        <f>7.615-2.137</f>
        <v>5.4779999999999998</v>
      </c>
      <c r="I19" s="359">
        <f>1.898-0.533</f>
        <v>1.3649999999999998</v>
      </c>
      <c r="J19" s="99">
        <f>3.34-0.937</f>
        <v>2.4029999999999996</v>
      </c>
      <c r="K19" s="331">
        <f>G19+H19+I19+J19</f>
        <v>110.84547226203449</v>
      </c>
    </row>
    <row r="20" spans="1:11" ht="15.6" thickBot="1" x14ac:dyDescent="0.3">
      <c r="A20" s="62"/>
      <c r="B20" s="336"/>
      <c r="C20" s="369"/>
      <c r="E20" s="370"/>
      <c r="F20" s="370"/>
      <c r="G20" s="371"/>
      <c r="H20" s="372"/>
      <c r="I20" s="369"/>
      <c r="J20" s="373"/>
      <c r="K20" s="374"/>
    </row>
    <row r="21" spans="1:11" ht="16.2" thickBot="1" x14ac:dyDescent="0.3">
      <c r="A21" s="330" t="s">
        <v>0</v>
      </c>
      <c r="B21" s="337">
        <f t="shared" ref="B21:K21" si="8">+B7+B11+B13+B17+B15+B19+B9</f>
        <v>704.81366030000004</v>
      </c>
      <c r="C21" s="375">
        <f t="shared" si="8"/>
        <v>0.3</v>
      </c>
      <c r="D21" s="375">
        <f t="shared" si="8"/>
        <v>0</v>
      </c>
      <c r="E21" s="375">
        <f t="shared" si="8"/>
        <v>0</v>
      </c>
      <c r="F21" s="376">
        <f t="shared" si="8"/>
        <v>25.843002999999996</v>
      </c>
      <c r="G21" s="377">
        <f t="shared" si="8"/>
        <v>730.95666329999995</v>
      </c>
      <c r="H21" s="378">
        <f t="shared" si="8"/>
        <v>39.363000000000007</v>
      </c>
      <c r="I21" s="375">
        <f t="shared" si="8"/>
        <v>6.8859999999999983</v>
      </c>
      <c r="J21" s="379">
        <f t="shared" si="8"/>
        <v>22.576000000000001</v>
      </c>
      <c r="K21" s="380">
        <f t="shared" si="8"/>
        <v>799.78166329999988</v>
      </c>
    </row>
    <row r="23" spans="1:11" x14ac:dyDescent="0.25">
      <c r="B23" s="178"/>
      <c r="C23" s="178"/>
      <c r="D23" s="178"/>
      <c r="E23" s="178"/>
      <c r="H23" s="178"/>
      <c r="I23" s="178"/>
      <c r="J23" s="178"/>
    </row>
    <row r="24" spans="1:11" x14ac:dyDescent="0.25">
      <c r="H24" s="178"/>
      <c r="I24" s="178"/>
    </row>
    <row r="25" spans="1:11" x14ac:dyDescent="0.25">
      <c r="H25" s="178"/>
      <c r="I25" s="178"/>
    </row>
    <row r="26" spans="1:11" x14ac:dyDescent="0.25">
      <c r="H26" s="178"/>
      <c r="I26" s="178"/>
    </row>
  </sheetData>
  <phoneticPr fontId="13" type="noConversion"/>
  <pageMargins left="0.55118110236220474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99"/>
    <pageSetUpPr fitToPage="1"/>
  </sheetPr>
  <dimension ref="A1:DH43"/>
  <sheetViews>
    <sheetView zoomScale="70" zoomScaleNormal="70" workbookViewId="0">
      <pane xSplit="1" ySplit="7" topLeftCell="B8" activePane="bottomRight" state="frozen"/>
      <selection activeCell="K4" sqref="K4"/>
      <selection pane="topRight" activeCell="K4" sqref="K4"/>
      <selection pane="bottomLeft" activeCell="K4" sqref="K4"/>
      <selection pane="bottomRight" activeCell="CT1" sqref="CT1:DD1048576"/>
    </sheetView>
  </sheetViews>
  <sheetFormatPr defaultRowHeight="15" outlineLevelCol="1" x14ac:dyDescent="0.25"/>
  <cols>
    <col min="1" max="1" width="51.1796875" customWidth="1"/>
    <col min="2" max="2" width="10.90625" hidden="1" customWidth="1" outlineLevel="1"/>
    <col min="3" max="3" width="12.1796875" hidden="1" customWidth="1" outlineLevel="1"/>
    <col min="4" max="4" width="11.1796875" hidden="1" customWidth="1" outlineLevel="1"/>
    <col min="5" max="5" width="8.90625" hidden="1" customWidth="1" outlineLevel="1"/>
    <col min="6" max="6" width="13.1796875" hidden="1" customWidth="1" outlineLevel="1"/>
    <col min="7" max="7" width="12.08984375" hidden="1" customWidth="1" outlineLevel="1"/>
    <col min="8" max="8" width="10.90625" hidden="1" customWidth="1" outlineLevel="1"/>
    <col min="9" max="9" width="11.453125" hidden="1" customWidth="1" outlineLevel="1"/>
    <col min="10" max="10" width="12" hidden="1" customWidth="1" outlineLevel="1"/>
    <col min="11" max="11" width="11.81640625" hidden="1" customWidth="1" outlineLevel="1"/>
    <col min="12" max="12" width="13.90625" hidden="1" customWidth="1" outlineLevel="1"/>
    <col min="13" max="13" width="14.453125" hidden="1" customWidth="1" outlineLevel="1"/>
    <col min="14" max="14" width="11.08984375" hidden="1" customWidth="1" outlineLevel="1"/>
    <col min="15" max="15" width="12.54296875" hidden="1" customWidth="1" outlineLevel="1"/>
    <col min="16" max="16" width="15" hidden="1" customWidth="1" outlineLevel="1"/>
    <col min="17" max="17" width="13.81640625" hidden="1" customWidth="1" outlineLevel="1"/>
    <col min="18" max="18" width="13.08984375" hidden="1" customWidth="1" outlineLevel="1"/>
    <col min="19" max="20" width="11.1796875" hidden="1" customWidth="1" outlineLevel="1"/>
    <col min="21" max="21" width="10.81640625" hidden="1" customWidth="1" outlineLevel="1"/>
    <col min="22" max="22" width="12.1796875" hidden="1" customWidth="1" outlineLevel="1"/>
    <col min="23" max="23" width="14" hidden="1" customWidth="1" outlineLevel="1"/>
    <col min="24" max="24" width="11.453125" hidden="1" customWidth="1" outlineLevel="1"/>
    <col min="25" max="25" width="11.08984375" hidden="1" customWidth="1" outlineLevel="1"/>
    <col min="26" max="26" width="11.1796875" hidden="1" customWidth="1" outlineLevel="1"/>
    <col min="27" max="27" width="10.1796875" hidden="1" customWidth="1" outlineLevel="1"/>
    <col min="28" max="28" width="12.81640625" hidden="1" customWidth="1" outlineLevel="1"/>
    <col min="29" max="29" width="13" hidden="1" customWidth="1" outlineLevel="1"/>
    <col min="30" max="30" width="10.81640625" hidden="1" customWidth="1" outlineLevel="1"/>
    <col min="31" max="32" width="11.453125" hidden="1" customWidth="1" outlineLevel="1"/>
    <col min="33" max="33" width="13.1796875" hidden="1" customWidth="1" outlineLevel="1"/>
    <col min="34" max="34" width="14.81640625" hidden="1" customWidth="1" outlineLevel="1"/>
    <col min="35" max="36" width="13.1796875" hidden="1" customWidth="1" outlineLevel="1"/>
    <col min="37" max="37" width="15" hidden="1" customWidth="1" outlineLevel="1"/>
    <col min="38" max="38" width="13.1796875" hidden="1" customWidth="1" outlineLevel="1"/>
    <col min="39" max="39" width="14.81640625" hidden="1" customWidth="1" outlineLevel="1"/>
    <col min="40" max="42" width="15.1796875" hidden="1" customWidth="1" outlineLevel="1"/>
    <col min="43" max="43" width="17.453125" hidden="1" customWidth="1" outlineLevel="1"/>
    <col min="44" max="52" width="15.1796875" hidden="1" customWidth="1" outlineLevel="1"/>
    <col min="53" max="54" width="12.54296875" hidden="1" customWidth="1" outlineLevel="1"/>
    <col min="55" max="55" width="15.54296875" hidden="1" customWidth="1" outlineLevel="1"/>
    <col min="56" max="56" width="12.54296875" hidden="1" customWidth="1" outlineLevel="1"/>
    <col min="57" max="58" width="15.08984375" hidden="1" customWidth="1" outlineLevel="1"/>
    <col min="59" max="59" width="12.54296875" hidden="1" customWidth="1" outlineLevel="1"/>
    <col min="60" max="60" width="12.54296875" hidden="1" customWidth="1" collapsed="1"/>
    <col min="61" max="71" width="12.54296875" hidden="1" customWidth="1"/>
    <col min="72" max="72" width="14.08984375" hidden="1" customWidth="1"/>
    <col min="73" max="86" width="12.54296875" hidden="1" customWidth="1"/>
    <col min="87" max="87" width="15.453125" hidden="1" customWidth="1"/>
    <col min="88" max="88" width="13" hidden="1" customWidth="1"/>
    <col min="89" max="93" width="13.08984375" hidden="1" customWidth="1"/>
    <col min="94" max="94" width="15" hidden="1" customWidth="1"/>
    <col min="95" max="95" width="14.90625" hidden="1" customWidth="1"/>
    <col min="96" max="97" width="12.54296875" hidden="1" customWidth="1"/>
    <col min="98" max="103" width="12.54296875" customWidth="1"/>
    <col min="104" max="107" width="13.81640625" customWidth="1"/>
    <col min="108" max="108" width="15.08984375" customWidth="1"/>
    <col min="110" max="110" width="12" customWidth="1"/>
    <col min="112" max="112" width="14.08984375" customWidth="1"/>
  </cols>
  <sheetData>
    <row r="1" spans="1:112" ht="15.6" x14ac:dyDescent="0.3">
      <c r="A1" s="9" t="s">
        <v>387</v>
      </c>
      <c r="AW1" s="8"/>
      <c r="AX1" s="8"/>
      <c r="AY1" s="8"/>
      <c r="AZ1" s="8"/>
    </row>
    <row r="2" spans="1:112" ht="15.6" x14ac:dyDescent="0.3">
      <c r="AG2" s="204"/>
      <c r="AV2" s="142"/>
      <c r="BH2" s="203" t="s">
        <v>121</v>
      </c>
      <c r="BI2" s="211"/>
      <c r="BJ2" s="211"/>
      <c r="BK2" s="211"/>
      <c r="BL2" s="211"/>
      <c r="BM2" s="211"/>
      <c r="BN2" s="211"/>
      <c r="BO2" s="211"/>
      <c r="BP2" s="211"/>
      <c r="BQ2" s="211"/>
    </row>
    <row r="3" spans="1:112" ht="15.6" thickBot="1" x14ac:dyDescent="0.3"/>
    <row r="4" spans="1:112" ht="15.6" x14ac:dyDescent="0.3">
      <c r="A4" s="13"/>
      <c r="B4" s="46">
        <v>1</v>
      </c>
      <c r="C4" s="46">
        <f t="shared" ref="C4:AA4" si="0">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6">
        <f t="shared" si="0"/>
        <v>14</v>
      </c>
      <c r="P4" s="46">
        <f t="shared" si="0"/>
        <v>15</v>
      </c>
      <c r="Q4" s="46">
        <f t="shared" si="0"/>
        <v>16</v>
      </c>
      <c r="R4" s="46">
        <f t="shared" si="0"/>
        <v>17</v>
      </c>
      <c r="S4" s="46">
        <f t="shared" si="0"/>
        <v>18</v>
      </c>
      <c r="T4" s="46">
        <f t="shared" si="0"/>
        <v>19</v>
      </c>
      <c r="U4" s="46">
        <f t="shared" si="0"/>
        <v>20</v>
      </c>
      <c r="V4" s="46">
        <f t="shared" si="0"/>
        <v>21</v>
      </c>
      <c r="W4" s="46">
        <f t="shared" si="0"/>
        <v>22</v>
      </c>
      <c r="X4" s="46">
        <f t="shared" si="0"/>
        <v>23</v>
      </c>
      <c r="Y4" s="46">
        <f t="shared" si="0"/>
        <v>24</v>
      </c>
      <c r="Z4" s="46">
        <f t="shared" si="0"/>
        <v>25</v>
      </c>
      <c r="AA4" s="46">
        <f t="shared" si="0"/>
        <v>26</v>
      </c>
      <c r="AB4" s="46">
        <f t="shared" ref="AB4:AQ4" si="1">AA4+1</f>
        <v>27</v>
      </c>
      <c r="AC4" s="46">
        <f t="shared" si="1"/>
        <v>28</v>
      </c>
      <c r="AD4" s="46">
        <f t="shared" si="1"/>
        <v>29</v>
      </c>
      <c r="AE4" s="46">
        <f t="shared" si="1"/>
        <v>30</v>
      </c>
      <c r="AF4" s="46">
        <f t="shared" si="1"/>
        <v>31</v>
      </c>
      <c r="AG4" s="46">
        <f t="shared" si="1"/>
        <v>32</v>
      </c>
      <c r="AH4" s="46">
        <f t="shared" si="1"/>
        <v>33</v>
      </c>
      <c r="AI4" s="46">
        <f t="shared" si="1"/>
        <v>34</v>
      </c>
      <c r="AJ4" s="46">
        <f t="shared" si="1"/>
        <v>35</v>
      </c>
      <c r="AK4" s="46">
        <f t="shared" si="1"/>
        <v>36</v>
      </c>
      <c r="AL4" s="46">
        <f t="shared" si="1"/>
        <v>37</v>
      </c>
      <c r="AM4" s="46">
        <f t="shared" si="1"/>
        <v>38</v>
      </c>
      <c r="AN4" s="46">
        <f t="shared" si="1"/>
        <v>39</v>
      </c>
      <c r="AO4" s="46">
        <f t="shared" si="1"/>
        <v>40</v>
      </c>
      <c r="AP4" s="46">
        <f t="shared" si="1"/>
        <v>41</v>
      </c>
      <c r="AQ4" s="46">
        <f t="shared" si="1"/>
        <v>42</v>
      </c>
      <c r="AR4" s="46">
        <f t="shared" ref="AR4:AZ4" si="2">AQ4+1</f>
        <v>43</v>
      </c>
      <c r="AS4" s="46">
        <f t="shared" si="2"/>
        <v>44</v>
      </c>
      <c r="AT4" s="46">
        <f t="shared" si="2"/>
        <v>45</v>
      </c>
      <c r="AU4" s="46">
        <f t="shared" si="2"/>
        <v>46</v>
      </c>
      <c r="AV4" s="46">
        <f t="shared" si="2"/>
        <v>47</v>
      </c>
      <c r="AW4" s="46">
        <f t="shared" si="2"/>
        <v>48</v>
      </c>
      <c r="AX4" s="46">
        <f t="shared" si="2"/>
        <v>49</v>
      </c>
      <c r="AY4" s="46">
        <f t="shared" si="2"/>
        <v>50</v>
      </c>
      <c r="AZ4" s="46">
        <f t="shared" si="2"/>
        <v>51</v>
      </c>
      <c r="BA4" s="46">
        <f t="shared" ref="BA4:BH4" si="3">AZ4+1</f>
        <v>52</v>
      </c>
      <c r="BB4" s="46">
        <f t="shared" si="3"/>
        <v>53</v>
      </c>
      <c r="BC4" s="46">
        <f t="shared" si="3"/>
        <v>54</v>
      </c>
      <c r="BD4" s="46">
        <f t="shared" si="3"/>
        <v>55</v>
      </c>
      <c r="BE4" s="46">
        <f t="shared" si="3"/>
        <v>56</v>
      </c>
      <c r="BF4" s="46">
        <f t="shared" si="3"/>
        <v>57</v>
      </c>
      <c r="BG4" s="46">
        <f t="shared" si="3"/>
        <v>58</v>
      </c>
      <c r="BH4" s="46">
        <f t="shared" si="3"/>
        <v>59</v>
      </c>
      <c r="BI4" s="46">
        <f t="shared" ref="BI4:BN4" si="4">BH4+1</f>
        <v>60</v>
      </c>
      <c r="BJ4" s="46">
        <f t="shared" si="4"/>
        <v>61</v>
      </c>
      <c r="BK4" s="46">
        <f t="shared" si="4"/>
        <v>62</v>
      </c>
      <c r="BL4" s="46">
        <f t="shared" si="4"/>
        <v>63</v>
      </c>
      <c r="BM4" s="46">
        <f t="shared" si="4"/>
        <v>64</v>
      </c>
      <c r="BN4" s="46">
        <f t="shared" si="4"/>
        <v>65</v>
      </c>
      <c r="BO4" s="46">
        <f>BN4+1</f>
        <v>66</v>
      </c>
      <c r="BP4" s="46">
        <f>BO4+1</f>
        <v>67</v>
      </c>
      <c r="BQ4" s="46">
        <f>BP4+1</f>
        <v>68</v>
      </c>
      <c r="BR4" s="46">
        <f t="shared" ref="BR4" si="5">BQ4+1</f>
        <v>69</v>
      </c>
      <c r="BS4" s="46">
        <f t="shared" ref="BS4" si="6">BR4+1</f>
        <v>70</v>
      </c>
      <c r="BT4" s="46">
        <f t="shared" ref="BT4" si="7">BS4+1</f>
        <v>71</v>
      </c>
      <c r="BU4" s="46">
        <f t="shared" ref="BU4" si="8">BT4+1</f>
        <v>72</v>
      </c>
      <c r="BV4" s="46">
        <f t="shared" ref="BV4" si="9">BU4+1</f>
        <v>73</v>
      </c>
      <c r="BW4" s="46">
        <f t="shared" ref="BW4" si="10">BV4+1</f>
        <v>74</v>
      </c>
      <c r="BX4" s="46">
        <f t="shared" ref="BX4" si="11">BW4+1</f>
        <v>75</v>
      </c>
      <c r="BY4" s="46">
        <f t="shared" ref="BY4" si="12">BX4+1</f>
        <v>76</v>
      </c>
      <c r="BZ4" s="46">
        <f t="shared" ref="BZ4" si="13">BY4+1</f>
        <v>77</v>
      </c>
      <c r="CA4" s="46">
        <f t="shared" ref="CA4" si="14">BZ4+1</f>
        <v>78</v>
      </c>
      <c r="CB4" s="46">
        <f t="shared" ref="CB4" si="15">CA4+1</f>
        <v>79</v>
      </c>
      <c r="CC4" s="46">
        <f t="shared" ref="CC4" si="16">CB4+1</f>
        <v>80</v>
      </c>
      <c r="CD4" s="46">
        <f t="shared" ref="CD4" si="17">CC4+1</f>
        <v>81</v>
      </c>
      <c r="CE4" s="46">
        <f t="shared" ref="CE4" si="18">CD4+1</f>
        <v>82</v>
      </c>
      <c r="CF4" s="46">
        <f t="shared" ref="CF4:CG4" si="19">CE4+1</f>
        <v>83</v>
      </c>
      <c r="CG4" s="46">
        <f t="shared" si="19"/>
        <v>84</v>
      </c>
      <c r="CH4" s="46">
        <f t="shared" ref="CH4" si="20">CG4+1</f>
        <v>85</v>
      </c>
      <c r="CI4" s="46">
        <f t="shared" ref="CI4" si="21">CH4+1</f>
        <v>86</v>
      </c>
      <c r="CJ4" s="46">
        <f t="shared" ref="CJ4" si="22">CI4+1</f>
        <v>87</v>
      </c>
      <c r="CK4" s="46">
        <f t="shared" ref="CK4" si="23">CJ4+1</f>
        <v>88</v>
      </c>
      <c r="CL4" s="46">
        <f t="shared" ref="CL4" si="24">CK4+1</f>
        <v>89</v>
      </c>
      <c r="CM4" s="46">
        <f t="shared" ref="CM4" si="25">CL4+1</f>
        <v>90</v>
      </c>
      <c r="CN4" s="46">
        <f t="shared" ref="CN4" si="26">CM4+1</f>
        <v>91</v>
      </c>
      <c r="CO4" s="46">
        <f t="shared" ref="CO4" si="27">CN4+1</f>
        <v>92</v>
      </c>
      <c r="CP4" s="46">
        <f t="shared" ref="CP4" si="28">CO4+1</f>
        <v>93</v>
      </c>
      <c r="CQ4" s="46">
        <f t="shared" ref="CQ4" si="29">CP4+1</f>
        <v>94</v>
      </c>
      <c r="CR4" s="46">
        <f t="shared" ref="CR4" si="30">CQ4+1</f>
        <v>95</v>
      </c>
      <c r="CS4" s="46">
        <f t="shared" ref="CS4" si="31">CR4+1</f>
        <v>96</v>
      </c>
      <c r="CT4" s="46">
        <f t="shared" ref="CT4" si="32">CS4+1</f>
        <v>97</v>
      </c>
      <c r="CU4" s="46">
        <f t="shared" ref="CU4" si="33">CT4+1</f>
        <v>98</v>
      </c>
      <c r="CV4" s="46">
        <f t="shared" ref="CV4" si="34">CU4+1</f>
        <v>99</v>
      </c>
      <c r="CW4" s="46">
        <f t="shared" ref="CW4" si="35">CV4+1</f>
        <v>100</v>
      </c>
      <c r="CX4" s="46">
        <f t="shared" ref="CX4" si="36">CW4+1</f>
        <v>101</v>
      </c>
      <c r="CY4" s="46">
        <f t="shared" ref="CY4" si="37">CX4+1</f>
        <v>102</v>
      </c>
      <c r="CZ4" s="46">
        <f t="shared" ref="CZ4" si="38">CY4+1</f>
        <v>103</v>
      </c>
      <c r="DA4" s="46">
        <f t="shared" ref="DA4" si="39">CZ4+1</f>
        <v>104</v>
      </c>
      <c r="DB4" s="46">
        <f t="shared" ref="DB4" si="40">DA4+1</f>
        <v>105</v>
      </c>
      <c r="DC4" s="46">
        <f t="shared" ref="DC4:DD4" si="41">DB4+1</f>
        <v>106</v>
      </c>
      <c r="DD4" s="46">
        <f t="shared" si="41"/>
        <v>107</v>
      </c>
      <c r="DF4" s="176"/>
      <c r="DH4" s="176"/>
    </row>
    <row r="5" spans="1:112" ht="169.5" customHeight="1" x14ac:dyDescent="0.25">
      <c r="A5" s="169"/>
      <c r="B5" s="170" t="s">
        <v>41</v>
      </c>
      <c r="C5" s="170" t="s">
        <v>42</v>
      </c>
      <c r="D5" s="170" t="s">
        <v>46</v>
      </c>
      <c r="E5" s="170" t="s">
        <v>47</v>
      </c>
      <c r="F5" s="170" t="s">
        <v>38</v>
      </c>
      <c r="G5" s="170" t="s">
        <v>49</v>
      </c>
      <c r="H5" s="170" t="s">
        <v>57</v>
      </c>
      <c r="I5" s="170" t="s">
        <v>56</v>
      </c>
      <c r="J5" s="170" t="s">
        <v>50</v>
      </c>
      <c r="K5" s="171" t="s">
        <v>54</v>
      </c>
      <c r="L5" s="171" t="s">
        <v>55</v>
      </c>
      <c r="M5" s="171" t="s">
        <v>75</v>
      </c>
      <c r="N5" s="171" t="s">
        <v>64</v>
      </c>
      <c r="O5" s="171" t="s">
        <v>65</v>
      </c>
      <c r="P5" s="171" t="s">
        <v>63</v>
      </c>
      <c r="Q5" s="171" t="s">
        <v>97</v>
      </c>
      <c r="R5" s="171" t="s">
        <v>98</v>
      </c>
      <c r="S5" s="171" t="s">
        <v>99</v>
      </c>
      <c r="T5" s="171" t="s">
        <v>76</v>
      </c>
      <c r="U5" s="171" t="s">
        <v>77</v>
      </c>
      <c r="V5" s="171" t="s">
        <v>78</v>
      </c>
      <c r="W5" s="171" t="s">
        <v>79</v>
      </c>
      <c r="X5" s="171" t="s">
        <v>80</v>
      </c>
      <c r="Y5" s="171" t="s">
        <v>81</v>
      </c>
      <c r="Z5" s="171" t="s">
        <v>82</v>
      </c>
      <c r="AA5" s="171" t="s">
        <v>85</v>
      </c>
      <c r="AB5" s="171" t="s">
        <v>96</v>
      </c>
      <c r="AC5" s="171" t="s">
        <v>100</v>
      </c>
      <c r="AD5" s="171" t="s">
        <v>101</v>
      </c>
      <c r="AE5" s="171" t="s">
        <v>102</v>
      </c>
      <c r="AF5" s="171" t="s">
        <v>167</v>
      </c>
      <c r="AG5" s="207" t="s">
        <v>112</v>
      </c>
      <c r="AH5" s="207" t="s">
        <v>113</v>
      </c>
      <c r="AI5" s="207" t="s">
        <v>114</v>
      </c>
      <c r="AJ5" s="207" t="s">
        <v>166</v>
      </c>
      <c r="AK5" s="207" t="s">
        <v>116</v>
      </c>
      <c r="AL5" s="207" t="s">
        <v>117</v>
      </c>
      <c r="AM5" s="207" t="s">
        <v>115</v>
      </c>
      <c r="AN5" s="207" t="s">
        <v>118</v>
      </c>
      <c r="AO5" s="207" t="s">
        <v>119</v>
      </c>
      <c r="AP5" s="207" t="s">
        <v>120</v>
      </c>
      <c r="AQ5" s="208" t="s">
        <v>111</v>
      </c>
      <c r="AR5" s="209" t="s">
        <v>122</v>
      </c>
      <c r="AS5" s="210" t="s">
        <v>123</v>
      </c>
      <c r="AT5" s="210" t="s">
        <v>124</v>
      </c>
      <c r="AU5" s="210" t="s">
        <v>183</v>
      </c>
      <c r="AV5" s="210" t="s">
        <v>132</v>
      </c>
      <c r="AW5" s="210" t="s">
        <v>129</v>
      </c>
      <c r="AX5" s="210" t="s">
        <v>130</v>
      </c>
      <c r="AY5" s="210" t="s">
        <v>131</v>
      </c>
      <c r="AZ5" s="207" t="s">
        <v>162</v>
      </c>
      <c r="BA5" s="207" t="s">
        <v>133</v>
      </c>
      <c r="BB5" s="207" t="s">
        <v>138</v>
      </c>
      <c r="BC5" s="207" t="s">
        <v>139</v>
      </c>
      <c r="BD5" s="207" t="s">
        <v>140</v>
      </c>
      <c r="BE5" s="207" t="s">
        <v>141</v>
      </c>
      <c r="BF5" s="207" t="s">
        <v>145</v>
      </c>
      <c r="BG5" s="207" t="s">
        <v>163</v>
      </c>
      <c r="BH5" s="207" t="s">
        <v>133</v>
      </c>
      <c r="BI5" s="207" t="s">
        <v>151</v>
      </c>
      <c r="BJ5" s="207" t="s">
        <v>152</v>
      </c>
      <c r="BK5" s="207" t="s">
        <v>153</v>
      </c>
      <c r="BL5" s="207" t="s">
        <v>154</v>
      </c>
      <c r="BM5" s="207" t="s">
        <v>155</v>
      </c>
      <c r="BN5" s="207" t="s">
        <v>157</v>
      </c>
      <c r="BO5" s="207" t="s">
        <v>158</v>
      </c>
      <c r="BP5" s="207" t="s">
        <v>159</v>
      </c>
      <c r="BQ5" s="207" t="s">
        <v>164</v>
      </c>
      <c r="BR5" s="207" t="s">
        <v>165</v>
      </c>
      <c r="BS5" s="207" t="s">
        <v>168</v>
      </c>
      <c r="BT5" s="207" t="s">
        <v>169</v>
      </c>
      <c r="BU5" s="207" t="s">
        <v>170</v>
      </c>
      <c r="BV5" s="207" t="s">
        <v>171</v>
      </c>
      <c r="BW5" s="207" t="s">
        <v>182</v>
      </c>
      <c r="BX5" s="207" t="s">
        <v>181</v>
      </c>
      <c r="BY5" s="207" t="s">
        <v>172</v>
      </c>
      <c r="BZ5" s="207" t="s">
        <v>176</v>
      </c>
      <c r="CA5" s="207" t="s">
        <v>177</v>
      </c>
      <c r="CB5" s="207" t="s">
        <v>174</v>
      </c>
      <c r="CC5" s="207" t="s">
        <v>178</v>
      </c>
      <c r="CD5" s="207" t="s">
        <v>179</v>
      </c>
      <c r="CE5" s="207" t="s">
        <v>193</v>
      </c>
      <c r="CF5" s="207" t="s">
        <v>257</v>
      </c>
      <c r="CG5" s="207" t="s">
        <v>173</v>
      </c>
      <c r="CH5" s="207" t="s">
        <v>199</v>
      </c>
      <c r="CI5" s="207" t="s">
        <v>204</v>
      </c>
      <c r="CJ5" s="207" t="s">
        <v>205</v>
      </c>
      <c r="CK5" s="207" t="s">
        <v>210</v>
      </c>
      <c r="CL5" s="207" t="s">
        <v>212</v>
      </c>
      <c r="CM5" s="207" t="s">
        <v>211</v>
      </c>
      <c r="CN5" s="207" t="s">
        <v>213</v>
      </c>
      <c r="CO5" s="207" t="s">
        <v>214</v>
      </c>
      <c r="CP5" s="207" t="s">
        <v>215</v>
      </c>
      <c r="CQ5" s="207" t="s">
        <v>218</v>
      </c>
      <c r="CR5" s="207" t="s">
        <v>258</v>
      </c>
      <c r="CS5" s="207" t="s">
        <v>259</v>
      </c>
      <c r="CT5" s="243" t="s">
        <v>388</v>
      </c>
      <c r="CU5" s="243" t="s">
        <v>390</v>
      </c>
      <c r="CV5" s="243" t="s">
        <v>260</v>
      </c>
      <c r="CW5" s="243" t="s">
        <v>389</v>
      </c>
      <c r="CX5" s="243" t="s">
        <v>265</v>
      </c>
      <c r="CY5" s="243" t="s">
        <v>269</v>
      </c>
      <c r="CZ5" s="243" t="s">
        <v>391</v>
      </c>
      <c r="DA5" s="243" t="s">
        <v>392</v>
      </c>
      <c r="DB5" s="243" t="s">
        <v>393</v>
      </c>
      <c r="DC5" s="243" t="s">
        <v>394</v>
      </c>
      <c r="DD5" s="201" t="s">
        <v>241</v>
      </c>
      <c r="DF5" s="175" t="s">
        <v>221</v>
      </c>
      <c r="DH5" s="177" t="s">
        <v>242</v>
      </c>
    </row>
    <row r="6" spans="1:112" x14ac:dyDescent="0.25">
      <c r="A6" s="57" t="s">
        <v>7</v>
      </c>
      <c r="B6" s="84" t="s">
        <v>15</v>
      </c>
      <c r="C6" s="84" t="s">
        <v>15</v>
      </c>
      <c r="D6" s="84" t="s">
        <v>15</v>
      </c>
      <c r="E6" s="84" t="s">
        <v>15</v>
      </c>
      <c r="F6" s="84" t="s">
        <v>15</v>
      </c>
      <c r="G6" s="84" t="s">
        <v>15</v>
      </c>
      <c r="H6" s="84" t="s">
        <v>15</v>
      </c>
      <c r="I6" s="84" t="s">
        <v>15</v>
      </c>
      <c r="J6" s="84" t="s">
        <v>15</v>
      </c>
      <c r="K6" s="84" t="s">
        <v>15</v>
      </c>
      <c r="L6" s="84" t="s">
        <v>15</v>
      </c>
      <c r="M6" s="84" t="s">
        <v>15</v>
      </c>
      <c r="N6" s="84" t="s">
        <v>15</v>
      </c>
      <c r="O6" s="84" t="s">
        <v>15</v>
      </c>
      <c r="P6" s="84" t="s">
        <v>15</v>
      </c>
      <c r="Q6" s="84" t="s">
        <v>15</v>
      </c>
      <c r="R6" s="84" t="s">
        <v>15</v>
      </c>
      <c r="S6" s="84" t="s">
        <v>15</v>
      </c>
      <c r="T6" s="84" t="s">
        <v>15</v>
      </c>
      <c r="U6" s="84" t="s">
        <v>15</v>
      </c>
      <c r="V6" s="84" t="s">
        <v>15</v>
      </c>
      <c r="W6" s="84" t="s">
        <v>15</v>
      </c>
      <c r="X6" s="84" t="s">
        <v>15</v>
      </c>
      <c r="Y6" s="84" t="s">
        <v>15</v>
      </c>
      <c r="Z6" s="84" t="s">
        <v>15</v>
      </c>
      <c r="AA6" s="84" t="s">
        <v>15</v>
      </c>
      <c r="AB6" s="84" t="s">
        <v>15</v>
      </c>
      <c r="AC6" s="84" t="s">
        <v>15</v>
      </c>
      <c r="AD6" s="84" t="s">
        <v>15</v>
      </c>
      <c r="AE6" s="84" t="s">
        <v>15</v>
      </c>
      <c r="AF6" s="84" t="s">
        <v>15</v>
      </c>
      <c r="AG6" s="84" t="s">
        <v>15</v>
      </c>
      <c r="AH6" s="84" t="s">
        <v>15</v>
      </c>
      <c r="AI6" s="84" t="s">
        <v>15</v>
      </c>
      <c r="AJ6" s="84" t="s">
        <v>15</v>
      </c>
      <c r="AK6" s="84" t="s">
        <v>15</v>
      </c>
      <c r="AL6" s="84" t="s">
        <v>15</v>
      </c>
      <c r="AM6" s="84" t="s">
        <v>15</v>
      </c>
      <c r="AN6" s="84" t="s">
        <v>15</v>
      </c>
      <c r="AO6" s="84" t="s">
        <v>15</v>
      </c>
      <c r="AP6" s="84" t="s">
        <v>15</v>
      </c>
      <c r="AQ6" s="84" t="s">
        <v>15</v>
      </c>
      <c r="AR6" s="84" t="s">
        <v>15</v>
      </c>
      <c r="AS6" s="84" t="s">
        <v>15</v>
      </c>
      <c r="AT6" s="84" t="s">
        <v>15</v>
      </c>
      <c r="AU6" s="84" t="s">
        <v>15</v>
      </c>
      <c r="AV6" s="84" t="s">
        <v>15</v>
      </c>
      <c r="AW6" s="84" t="s">
        <v>15</v>
      </c>
      <c r="AX6" s="84" t="s">
        <v>15</v>
      </c>
      <c r="AY6" s="84" t="s">
        <v>15</v>
      </c>
      <c r="AZ6" s="84" t="s">
        <v>15</v>
      </c>
      <c r="BA6" s="84" t="s">
        <v>15</v>
      </c>
      <c r="BB6" s="84" t="s">
        <v>15</v>
      </c>
      <c r="BC6" s="84" t="s">
        <v>15</v>
      </c>
      <c r="BD6" s="84" t="s">
        <v>15</v>
      </c>
      <c r="BE6" s="84" t="s">
        <v>15</v>
      </c>
      <c r="BF6" s="84" t="s">
        <v>15</v>
      </c>
      <c r="BG6" s="84" t="s">
        <v>15</v>
      </c>
      <c r="BH6" s="84" t="s">
        <v>15</v>
      </c>
      <c r="BI6" s="84" t="s">
        <v>15</v>
      </c>
      <c r="BJ6" s="84" t="s">
        <v>15</v>
      </c>
      <c r="BK6" s="84" t="s">
        <v>15</v>
      </c>
      <c r="BL6" s="84" t="s">
        <v>15</v>
      </c>
      <c r="BM6" s="84" t="s">
        <v>15</v>
      </c>
      <c r="BN6" s="84" t="s">
        <v>15</v>
      </c>
      <c r="BO6" s="84" t="s">
        <v>15</v>
      </c>
      <c r="BP6" s="84" t="s">
        <v>15</v>
      </c>
      <c r="BQ6" s="84" t="s">
        <v>15</v>
      </c>
      <c r="BR6" s="84" t="s">
        <v>15</v>
      </c>
      <c r="BS6" s="84" t="s">
        <v>15</v>
      </c>
      <c r="BT6" s="84" t="s">
        <v>15</v>
      </c>
      <c r="BU6" s="84" t="s">
        <v>15</v>
      </c>
      <c r="BV6" s="84" t="s">
        <v>15</v>
      </c>
      <c r="BW6" s="84" t="s">
        <v>15</v>
      </c>
      <c r="BX6" s="84" t="s">
        <v>15</v>
      </c>
      <c r="BY6" s="84" t="s">
        <v>15</v>
      </c>
      <c r="BZ6" s="84" t="s">
        <v>15</v>
      </c>
      <c r="CA6" s="84" t="s">
        <v>15</v>
      </c>
      <c r="CB6" s="84" t="s">
        <v>15</v>
      </c>
      <c r="CC6" s="84" t="s">
        <v>15</v>
      </c>
      <c r="CD6" s="84" t="s">
        <v>15</v>
      </c>
      <c r="CE6" s="84" t="s">
        <v>15</v>
      </c>
      <c r="CF6" s="84" t="s">
        <v>15</v>
      </c>
      <c r="CG6" s="84" t="s">
        <v>15</v>
      </c>
      <c r="CH6" s="84" t="s">
        <v>15</v>
      </c>
      <c r="CI6" s="84" t="s">
        <v>15</v>
      </c>
      <c r="CJ6" s="84" t="s">
        <v>15</v>
      </c>
      <c r="CK6" s="84" t="s">
        <v>15</v>
      </c>
      <c r="CL6" s="84" t="s">
        <v>15</v>
      </c>
      <c r="CM6" s="84" t="s">
        <v>15</v>
      </c>
      <c r="CN6" s="84" t="s">
        <v>15</v>
      </c>
      <c r="CO6" s="84" t="s">
        <v>15</v>
      </c>
      <c r="CP6" s="84" t="s">
        <v>15</v>
      </c>
      <c r="CQ6" s="84" t="s">
        <v>15</v>
      </c>
      <c r="CR6" s="84" t="s">
        <v>15</v>
      </c>
      <c r="CS6" s="84" t="s">
        <v>15</v>
      </c>
      <c r="CT6" s="84"/>
      <c r="CU6" s="84" t="s">
        <v>15</v>
      </c>
      <c r="CV6" s="84" t="s">
        <v>15</v>
      </c>
      <c r="CW6" s="84" t="s">
        <v>15</v>
      </c>
      <c r="CX6" s="84" t="s">
        <v>15</v>
      </c>
      <c r="CY6" s="84" t="s">
        <v>15</v>
      </c>
      <c r="CZ6" s="84" t="s">
        <v>15</v>
      </c>
      <c r="DA6" s="84" t="s">
        <v>15</v>
      </c>
      <c r="DB6" s="84" t="s">
        <v>15</v>
      </c>
      <c r="DC6" s="84" t="s">
        <v>15</v>
      </c>
      <c r="DD6" s="84" t="s">
        <v>15</v>
      </c>
      <c r="DF6" s="133" t="s">
        <v>15</v>
      </c>
      <c r="DH6" s="146" t="s">
        <v>15</v>
      </c>
    </row>
    <row r="7" spans="1:112" ht="15.6" x14ac:dyDescent="0.25">
      <c r="A7" s="80"/>
      <c r="B7" s="81"/>
      <c r="C7" s="81"/>
      <c r="D7" s="81"/>
      <c r="E7" s="81"/>
      <c r="F7" s="81"/>
      <c r="G7" s="81"/>
      <c r="H7" s="81"/>
      <c r="I7" s="81"/>
      <c r="J7" s="81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99"/>
      <c r="DF7" s="134"/>
      <c r="DH7" s="147"/>
    </row>
    <row r="8" spans="1:112" ht="15.6" x14ac:dyDescent="0.3">
      <c r="A8" s="2" t="s">
        <v>20</v>
      </c>
      <c r="B8" s="24">
        <v>0.28265000000000001</v>
      </c>
      <c r="C8" s="24">
        <v>1.163961</v>
      </c>
      <c r="D8" s="24">
        <v>1.5366029999999999</v>
      </c>
      <c r="E8" s="24">
        <v>0</v>
      </c>
      <c r="F8" s="24">
        <v>1.8740000000000001</v>
      </c>
      <c r="G8" s="24">
        <v>0</v>
      </c>
      <c r="H8" s="24">
        <v>0</v>
      </c>
      <c r="I8" s="24"/>
      <c r="J8" s="24">
        <v>0</v>
      </c>
      <c r="K8" s="130"/>
      <c r="L8" s="130">
        <v>-3.3845E-2</v>
      </c>
      <c r="M8" s="130"/>
      <c r="N8" s="130"/>
      <c r="O8" s="130"/>
      <c r="P8" s="130"/>
      <c r="Q8" s="130"/>
      <c r="R8" s="130">
        <v>7.0000000000000001E-3</v>
      </c>
      <c r="S8" s="130">
        <v>1.0500000000000001E-2</v>
      </c>
      <c r="T8" s="130">
        <v>5.3900000000000003E-2</v>
      </c>
      <c r="U8" s="130">
        <v>8.8269999999999998E-3</v>
      </c>
      <c r="V8" s="130">
        <v>0.01</v>
      </c>
      <c r="W8" s="130"/>
      <c r="X8" s="130"/>
      <c r="Y8" s="130"/>
      <c r="Z8" s="130"/>
      <c r="AA8" s="130"/>
      <c r="AB8" s="130">
        <v>1.7999999999999999E-2</v>
      </c>
      <c r="AC8" s="130">
        <v>8.5999999999999993E-2</v>
      </c>
      <c r="AD8" s="130"/>
      <c r="AE8" s="130">
        <v>3.1E-2</v>
      </c>
      <c r="AF8" s="130"/>
      <c r="AG8" s="130"/>
      <c r="AH8" s="130"/>
      <c r="AI8" s="130"/>
      <c r="AJ8" s="130">
        <v>1.5010000000000001E-2</v>
      </c>
      <c r="AK8" s="130"/>
      <c r="AL8" s="130"/>
      <c r="AM8" s="130">
        <v>6.1020999999999999E-2</v>
      </c>
      <c r="AN8" s="130">
        <v>1.2152E-2</v>
      </c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>
        <v>1.0586999999999999E-2</v>
      </c>
      <c r="BF8" s="130"/>
      <c r="BG8" s="130"/>
      <c r="BH8" s="130"/>
      <c r="BI8" s="130">
        <v>3.6999999999999998E-2</v>
      </c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>
        <v>2.1406999999999999E-2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00">
        <f>SUM(B8:DC8)</f>
        <v>5.2057730000000006</v>
      </c>
      <c r="DF8" s="151">
        <v>5.2057730000000006</v>
      </c>
      <c r="DG8" s="9"/>
      <c r="DH8" s="198">
        <f>DF8-DD8</f>
        <v>0</v>
      </c>
    </row>
    <row r="9" spans="1:112" ht="15.6" x14ac:dyDescent="0.3">
      <c r="A9" s="2"/>
      <c r="B9" s="24"/>
      <c r="C9" s="24"/>
      <c r="D9" s="24"/>
      <c r="E9" s="24"/>
      <c r="F9" s="24"/>
      <c r="G9" s="24"/>
      <c r="H9" s="24"/>
      <c r="I9" s="24"/>
      <c r="J9" s="24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00"/>
      <c r="DF9" s="151"/>
      <c r="DG9" s="9"/>
      <c r="DH9" s="198"/>
    </row>
    <row r="10" spans="1:112" ht="15.6" x14ac:dyDescent="0.3">
      <c r="A10" s="88" t="s">
        <v>68</v>
      </c>
      <c r="B10" s="126">
        <v>0.27160499999999999</v>
      </c>
      <c r="C10" s="126">
        <v>1.886646</v>
      </c>
      <c r="D10" s="126">
        <v>1.569639</v>
      </c>
      <c r="E10" s="126">
        <v>0.96741900000000003</v>
      </c>
      <c r="F10" s="126">
        <v>1.2291750000000001</v>
      </c>
      <c r="G10" s="126">
        <v>0</v>
      </c>
      <c r="H10" s="126">
        <v>0</v>
      </c>
      <c r="I10" s="126"/>
      <c r="J10" s="126">
        <v>0</v>
      </c>
      <c r="K10" s="131"/>
      <c r="L10" s="131">
        <v>-3.7384000000000001E-2</v>
      </c>
      <c r="M10" s="131"/>
      <c r="N10" s="131"/>
      <c r="O10" s="131"/>
      <c r="P10" s="131"/>
      <c r="Q10" s="131"/>
      <c r="R10" s="131">
        <v>7.0000000000000001E-3</v>
      </c>
      <c r="S10" s="131">
        <v>1.34E-2</v>
      </c>
      <c r="T10" s="131">
        <v>5.3900000000000003E-2</v>
      </c>
      <c r="U10" s="131">
        <v>8.8269999999999998E-3</v>
      </c>
      <c r="V10" s="131">
        <v>0.01</v>
      </c>
      <c r="W10" s="131"/>
      <c r="X10" s="131"/>
      <c r="Y10" s="131"/>
      <c r="Z10" s="131"/>
      <c r="AA10" s="131"/>
      <c r="AB10" s="130">
        <v>1.7999999999999999E-2</v>
      </c>
      <c r="AC10" s="130">
        <v>0.125</v>
      </c>
      <c r="AD10" s="130"/>
      <c r="AE10" s="130"/>
      <c r="AF10" s="130"/>
      <c r="AG10" s="130"/>
      <c r="AH10" s="130"/>
      <c r="AI10" s="130"/>
      <c r="AJ10" s="130">
        <v>1.7877000000000001E-2</v>
      </c>
      <c r="AK10" s="130">
        <v>4.4448000000000001E-2</v>
      </c>
      <c r="AL10" s="130">
        <v>2.4303000000000002E-2</v>
      </c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>
        <v>3.2778000000000002E-2</v>
      </c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>
        <f>0.028452+0.156418+0.028452</f>
        <v>0.21332200000000001</v>
      </c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00">
        <f>SUM(B10:DC10)</f>
        <v>6.4559549999999986</v>
      </c>
      <c r="DF10" s="151">
        <v>6.4559549999999986</v>
      </c>
      <c r="DG10" s="9"/>
      <c r="DH10" s="198">
        <f>DF10-DD10</f>
        <v>0</v>
      </c>
    </row>
    <row r="11" spans="1:112" ht="15.6" x14ac:dyDescent="0.3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00"/>
      <c r="DF11" s="151"/>
      <c r="DG11" s="9"/>
      <c r="DH11" s="198"/>
    </row>
    <row r="12" spans="1:112" ht="15.6" x14ac:dyDescent="0.3">
      <c r="A12" s="2" t="s">
        <v>21</v>
      </c>
      <c r="B12" s="24">
        <v>0.329129</v>
      </c>
      <c r="C12" s="24">
        <v>1.2235959999999999</v>
      </c>
      <c r="D12" s="24">
        <v>1.921627</v>
      </c>
      <c r="E12" s="24">
        <v>0.30313000000000001</v>
      </c>
      <c r="F12" s="24">
        <v>1.377</v>
      </c>
      <c r="G12" s="24">
        <v>0</v>
      </c>
      <c r="H12" s="24">
        <v>0</v>
      </c>
      <c r="I12" s="24"/>
      <c r="J12" s="24">
        <v>0</v>
      </c>
      <c r="K12" s="130"/>
      <c r="L12" s="130">
        <v>-1.1079E-2</v>
      </c>
      <c r="M12" s="130"/>
      <c r="N12" s="130"/>
      <c r="O12" s="130"/>
      <c r="P12" s="130"/>
      <c r="Q12" s="130"/>
      <c r="R12" s="130">
        <v>7.0000000000000001E-3</v>
      </c>
      <c r="S12" s="130">
        <v>1.1599999999999999E-2</v>
      </c>
      <c r="T12" s="130">
        <v>5.3900000000000003E-2</v>
      </c>
      <c r="U12" s="130">
        <v>8.8269999999999998E-3</v>
      </c>
      <c r="V12" s="130">
        <v>0.01</v>
      </c>
      <c r="W12" s="130"/>
      <c r="X12" s="130"/>
      <c r="Y12" s="130"/>
      <c r="Z12" s="130"/>
      <c r="AA12" s="130"/>
      <c r="AB12" s="130">
        <v>1.7999999999999999E-2</v>
      </c>
      <c r="AC12" s="130">
        <v>6.6000000000000003E-2</v>
      </c>
      <c r="AD12" s="130"/>
      <c r="AE12" s="130"/>
      <c r="AF12" s="130"/>
      <c r="AG12" s="130"/>
      <c r="AH12" s="130"/>
      <c r="AI12" s="130">
        <v>-6.9829999999999996E-3</v>
      </c>
      <c r="AJ12" s="130">
        <v>1.2297000000000001E-2</v>
      </c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>
        <v>3.6461E-2</v>
      </c>
      <c r="BX12" s="130"/>
      <c r="BY12" s="130">
        <v>8.856E-2</v>
      </c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00">
        <f>SUM(B12:DC12)</f>
        <v>5.4490649999999992</v>
      </c>
      <c r="DE12" s="128">
        <f>SUM(DD8:DD20)</f>
        <v>33.079615000000004</v>
      </c>
      <c r="DF12" s="151">
        <v>5.4490649999999992</v>
      </c>
      <c r="DG12" s="9"/>
      <c r="DH12" s="198">
        <f>DF12-DD12</f>
        <v>0</v>
      </c>
    </row>
    <row r="13" spans="1:112" ht="15.6" x14ac:dyDescent="0.3">
      <c r="A13" s="2"/>
      <c r="B13" s="24"/>
      <c r="C13" s="24"/>
      <c r="D13" s="24"/>
      <c r="E13" s="24"/>
      <c r="F13" s="24"/>
      <c r="G13" s="24"/>
      <c r="H13" s="24"/>
      <c r="I13" s="24"/>
      <c r="J13" s="24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00"/>
      <c r="DF13" s="151"/>
      <c r="DG13" s="9"/>
      <c r="DH13" s="198"/>
    </row>
    <row r="14" spans="1:112" ht="15.6" x14ac:dyDescent="0.3">
      <c r="A14" s="2" t="s">
        <v>134</v>
      </c>
      <c r="B14" s="24">
        <f>0.0603+0.117825</f>
        <v>0.17812500000000001</v>
      </c>
      <c r="C14" s="24">
        <v>0.81642300000000001</v>
      </c>
      <c r="D14" s="24">
        <v>0.63953599999999999</v>
      </c>
      <c r="E14" s="24">
        <v>0.62220900000000001</v>
      </c>
      <c r="F14" s="24">
        <v>1.1200000000000001</v>
      </c>
      <c r="G14" s="24">
        <v>0</v>
      </c>
      <c r="H14" s="24">
        <v>0</v>
      </c>
      <c r="I14" s="24"/>
      <c r="J14" s="24">
        <v>0</v>
      </c>
      <c r="K14" s="130"/>
      <c r="L14" s="130">
        <v>-3.4934E-2</v>
      </c>
      <c r="M14" s="130"/>
      <c r="N14" s="130"/>
      <c r="O14" s="130"/>
      <c r="P14" s="130"/>
      <c r="Q14" s="130">
        <f>0.029537+0.043843</f>
        <v>7.3380000000000001E-2</v>
      </c>
      <c r="R14" s="130">
        <v>7.0000000000000001E-3</v>
      </c>
      <c r="S14" s="130">
        <v>6.7000000000000002E-3</v>
      </c>
      <c r="T14" s="130">
        <v>3.0800000000000001E-2</v>
      </c>
      <c r="U14" s="130">
        <v>5.8849999999999996E-3</v>
      </c>
      <c r="V14" s="130">
        <v>0.01</v>
      </c>
      <c r="W14" s="130"/>
      <c r="X14" s="130"/>
      <c r="Y14" s="130"/>
      <c r="Z14" s="130"/>
      <c r="AA14" s="130"/>
      <c r="AB14" s="130">
        <v>1.7999999999999999E-2</v>
      </c>
      <c r="AC14" s="130">
        <v>5.7000000000000002E-2</v>
      </c>
      <c r="AD14" s="130"/>
      <c r="AE14" s="130"/>
      <c r="AF14" s="130"/>
      <c r="AG14" s="130"/>
      <c r="AH14" s="130"/>
      <c r="AI14" s="130">
        <v>-6.9829999999999996E-3</v>
      </c>
      <c r="AJ14" s="130">
        <v>7.7499999999999999E-3</v>
      </c>
      <c r="AK14" s="130"/>
      <c r="AL14" s="130"/>
      <c r="AM14" s="130"/>
      <c r="AN14" s="130"/>
      <c r="AO14" s="130">
        <v>1.4914E-2</v>
      </c>
      <c r="AP14" s="130">
        <v>8.5500000000000007E-2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>
        <v>7.6886999999999997E-2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>
        <v>2.6047000000000001E-2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>
        <v>0.26639400000000002</v>
      </c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00">
        <f>SUM(B14:DC14)</f>
        <v>4.0206330000000019</v>
      </c>
      <c r="DF14" s="151">
        <v>4.0206330000000019</v>
      </c>
      <c r="DG14" s="9"/>
      <c r="DH14" s="198">
        <f>DF14-DD14</f>
        <v>0</v>
      </c>
    </row>
    <row r="15" spans="1:112" ht="15.6" x14ac:dyDescent="0.3">
      <c r="A15" s="1"/>
      <c r="B15" s="127"/>
      <c r="C15" s="127"/>
      <c r="D15" s="127"/>
      <c r="E15" s="127"/>
      <c r="F15" s="127"/>
      <c r="G15" s="127"/>
      <c r="H15" s="127"/>
      <c r="I15" s="127"/>
      <c r="J15" s="127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00"/>
      <c r="DF15" s="152"/>
      <c r="DG15" s="9"/>
      <c r="DH15" s="198"/>
    </row>
    <row r="16" spans="1:112" ht="15.6" x14ac:dyDescent="0.3">
      <c r="A16" s="2" t="s">
        <v>23</v>
      </c>
      <c r="B16" s="24">
        <v>0.22966400000000001</v>
      </c>
      <c r="C16" s="24">
        <v>1.0558380000000001</v>
      </c>
      <c r="D16" s="24">
        <v>1.1668179999999999</v>
      </c>
      <c r="E16" s="24">
        <v>0.28273399999999999</v>
      </c>
      <c r="F16" s="24">
        <v>1.1279999999999999</v>
      </c>
      <c r="G16" s="24">
        <v>0</v>
      </c>
      <c r="H16" s="24">
        <v>0</v>
      </c>
      <c r="I16" s="24"/>
      <c r="J16" s="24">
        <v>0</v>
      </c>
      <c r="K16" s="130"/>
      <c r="L16" s="130"/>
      <c r="M16" s="130"/>
      <c r="N16" s="130"/>
      <c r="O16" s="130"/>
      <c r="P16" s="130"/>
      <c r="Q16" s="130"/>
      <c r="R16" s="130">
        <v>7.0000000000000001E-3</v>
      </c>
      <c r="S16" s="130">
        <v>7.3000000000000001E-3</v>
      </c>
      <c r="T16" s="130">
        <v>3.0800000000000001E-2</v>
      </c>
      <c r="U16" s="130">
        <v>5.8849999999999996E-3</v>
      </c>
      <c r="V16" s="130">
        <v>0.01</v>
      </c>
      <c r="W16" s="130">
        <v>-4.8947999999999998E-2</v>
      </c>
      <c r="X16" s="130"/>
      <c r="Y16" s="130"/>
      <c r="Z16" s="130"/>
      <c r="AA16" s="130"/>
      <c r="AB16" s="130">
        <v>1.7999999999999999E-2</v>
      </c>
      <c r="AC16" s="130">
        <v>6.8000000000000005E-2</v>
      </c>
      <c r="AD16" s="130"/>
      <c r="AE16" s="130"/>
      <c r="AF16" s="130"/>
      <c r="AG16" s="130"/>
      <c r="AH16" s="130">
        <v>-2.0611999999999998E-2</v>
      </c>
      <c r="AI16" s="130"/>
      <c r="AJ16" s="130">
        <v>9.8689999999999993E-3</v>
      </c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>
        <v>1.7648E-2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>
        <v>-1.8244E-2</v>
      </c>
      <c r="CZ16" s="130"/>
      <c r="DA16" s="130"/>
      <c r="DB16" s="130"/>
      <c r="DC16" s="130"/>
      <c r="DD16" s="100">
        <f>SUM(B16:DC16)</f>
        <v>3.9497519999999997</v>
      </c>
      <c r="DF16" s="151">
        <v>3.9679959999999999</v>
      </c>
      <c r="DG16" s="9"/>
      <c r="DH16" s="198">
        <f>DF16-DD16</f>
        <v>1.8244000000000149E-2</v>
      </c>
    </row>
    <row r="17" spans="1:112" ht="15.6" x14ac:dyDescent="0.3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00"/>
      <c r="DF17" s="151"/>
      <c r="DG17" s="9"/>
      <c r="DH17" s="198"/>
    </row>
    <row r="18" spans="1:112" ht="15.6" x14ac:dyDescent="0.3">
      <c r="A18" s="2" t="s">
        <v>22</v>
      </c>
      <c r="B18" s="24">
        <v>6.4367999999999995E-2</v>
      </c>
      <c r="C18" s="24">
        <v>0.170741</v>
      </c>
      <c r="D18" s="24">
        <v>0.253917</v>
      </c>
      <c r="E18" s="24">
        <v>9.3273999999999996E-2</v>
      </c>
      <c r="F18" s="24">
        <v>0.40300000000000002</v>
      </c>
      <c r="G18" s="24">
        <v>0</v>
      </c>
      <c r="H18" s="24">
        <v>0</v>
      </c>
      <c r="I18" s="24"/>
      <c r="J18" s="24">
        <v>0</v>
      </c>
      <c r="K18" s="130"/>
      <c r="L18" s="130">
        <v>-4.1567E-2</v>
      </c>
      <c r="M18" s="130"/>
      <c r="N18" s="130"/>
      <c r="O18" s="130"/>
      <c r="P18" s="130"/>
      <c r="Q18" s="130"/>
      <c r="R18" s="130">
        <v>7.0000000000000001E-3</v>
      </c>
      <c r="S18" s="130">
        <v>1.4E-3</v>
      </c>
      <c r="T18" s="130">
        <v>7.7000000000000002E-3</v>
      </c>
      <c r="U18" s="130">
        <v>1.9610000000000001E-3</v>
      </c>
      <c r="V18" s="130">
        <v>0.01</v>
      </c>
      <c r="W18" s="130">
        <v>-1.4865E-2</v>
      </c>
      <c r="X18" s="130"/>
      <c r="Y18" s="130"/>
      <c r="Z18" s="130"/>
      <c r="AA18" s="130"/>
      <c r="AB18" s="130">
        <v>1.7999999999999999E-2</v>
      </c>
      <c r="AC18" s="130">
        <v>2.2577E-2</v>
      </c>
      <c r="AD18" s="130"/>
      <c r="AE18" s="130"/>
      <c r="AF18" s="130"/>
      <c r="AG18" s="130"/>
      <c r="AH18" s="130"/>
      <c r="AI18" s="130"/>
      <c r="AJ18" s="130">
        <v>3.5130000000000001E-3</v>
      </c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>
        <v>8.9540000000000002E-3</v>
      </c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00">
        <f>SUM(B18:DC18)</f>
        <v>1.009973</v>
      </c>
      <c r="DF18" s="151">
        <v>1.009973</v>
      </c>
      <c r="DG18" s="9"/>
      <c r="DH18" s="198">
        <f>DF18-DD18</f>
        <v>0</v>
      </c>
    </row>
    <row r="19" spans="1:112" ht="15.6" x14ac:dyDescent="0.3">
      <c r="A19" s="2"/>
      <c r="B19" s="24"/>
      <c r="C19" s="24"/>
      <c r="D19" s="24"/>
      <c r="E19" s="24"/>
      <c r="F19" s="24"/>
      <c r="G19" s="24"/>
      <c r="H19" s="24"/>
      <c r="I19" s="24"/>
      <c r="J19" s="24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00"/>
      <c r="DF19" s="151"/>
      <c r="DG19" s="9"/>
      <c r="DH19" s="198"/>
    </row>
    <row r="20" spans="1:112" ht="15.6" x14ac:dyDescent="0.3">
      <c r="A20" s="2" t="s">
        <v>135</v>
      </c>
      <c r="B20" s="24">
        <v>0.313581</v>
      </c>
      <c r="C20" s="24">
        <v>1.6711020000000001</v>
      </c>
      <c r="D20" s="24">
        <v>1.0533859999999999</v>
      </c>
      <c r="E20" s="24">
        <v>1.614217</v>
      </c>
      <c r="F20" s="24">
        <v>1.5049999999999999</v>
      </c>
      <c r="G20" s="24">
        <v>0</v>
      </c>
      <c r="H20" s="24">
        <v>0</v>
      </c>
      <c r="I20" s="24"/>
      <c r="J20" s="24">
        <v>0</v>
      </c>
      <c r="K20" s="130"/>
      <c r="L20" s="130"/>
      <c r="M20" s="130"/>
      <c r="N20" s="130"/>
      <c r="O20" s="130"/>
      <c r="P20" s="130"/>
      <c r="Q20" s="130"/>
      <c r="R20" s="130">
        <v>7.0000000000000001E-3</v>
      </c>
      <c r="S20" s="130">
        <v>1.2699999999999999E-2</v>
      </c>
      <c r="T20" s="130">
        <v>5.3900000000000003E-2</v>
      </c>
      <c r="U20" s="130">
        <v>8.8269999999999998E-3</v>
      </c>
      <c r="V20" s="130">
        <v>0.01</v>
      </c>
      <c r="W20" s="130"/>
      <c r="X20" s="130"/>
      <c r="Y20" s="130">
        <f>-0.04+-0.022133+0.044266+0.037775+0.082041</f>
        <v>0.10194900000000001</v>
      </c>
      <c r="Z20" s="130"/>
      <c r="AA20" s="130"/>
      <c r="AB20" s="130">
        <v>1.7999999999999999E-2</v>
      </c>
      <c r="AC20" s="130">
        <v>9.7000000000000003E-2</v>
      </c>
      <c r="AD20" s="130"/>
      <c r="AE20" s="130"/>
      <c r="AF20" s="130"/>
      <c r="AG20" s="130"/>
      <c r="AH20" s="130"/>
      <c r="AI20" s="130"/>
      <c r="AJ20" s="130">
        <v>1.3589E-2</v>
      </c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>
        <v>2.7682999999999999E-2</v>
      </c>
      <c r="BT20" s="130">
        <v>0.124848</v>
      </c>
      <c r="BU20" s="130">
        <v>5.2289000000000002E-2</v>
      </c>
      <c r="BV20" s="130">
        <v>3.0672999999999999E-2</v>
      </c>
      <c r="BW20" s="130">
        <v>1.9056E-2</v>
      </c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>
        <v>9.6475000000000005E-2</v>
      </c>
      <c r="CY20" s="130"/>
      <c r="CZ20" s="130">
        <v>0.157189</v>
      </c>
      <c r="DA20" s="130"/>
      <c r="DB20" s="130"/>
      <c r="DC20" s="130"/>
      <c r="DD20" s="100">
        <f>SUM(B20:DC20)</f>
        <v>6.9884639999999987</v>
      </c>
      <c r="DF20" s="151">
        <v>6.734799999999999</v>
      </c>
      <c r="DG20" s="9"/>
      <c r="DH20" s="198">
        <f>DF20-DD20</f>
        <v>-0.25366399999999967</v>
      </c>
    </row>
    <row r="21" spans="1:112" ht="15.6" x14ac:dyDescent="0.3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00"/>
      <c r="DF21" s="135"/>
      <c r="DG21" s="9"/>
      <c r="DH21" s="198"/>
    </row>
    <row r="22" spans="1:112" ht="15.6" x14ac:dyDescent="0.3">
      <c r="A22" s="2" t="s">
        <v>36</v>
      </c>
      <c r="B22" s="24">
        <v>0</v>
      </c>
      <c r="C22" s="24">
        <v>0</v>
      </c>
      <c r="D22" s="24">
        <v>0</v>
      </c>
      <c r="E22" s="24">
        <v>0</v>
      </c>
      <c r="F22" s="24">
        <v>-2.8202000000000001E-2</v>
      </c>
      <c r="G22" s="24">
        <v>0</v>
      </c>
      <c r="H22" s="24">
        <v>0</v>
      </c>
      <c r="I22" s="24"/>
      <c r="J22" s="24">
        <v>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00">
        <f>SUM(B22:DC22)</f>
        <v>-2.8202000000000001E-2</v>
      </c>
      <c r="DF22" s="135"/>
      <c r="DG22" s="9"/>
      <c r="DH22" s="198"/>
    </row>
    <row r="23" spans="1:112" ht="15.6" x14ac:dyDescent="0.3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00"/>
      <c r="DF23" s="135"/>
      <c r="DG23" s="9"/>
      <c r="DH23" s="198"/>
    </row>
    <row r="24" spans="1:112" ht="15.6" x14ac:dyDescent="0.3">
      <c r="A24" s="2" t="s">
        <v>48</v>
      </c>
      <c r="B24" s="24">
        <v>0</v>
      </c>
      <c r="C24" s="24">
        <v>0</v>
      </c>
      <c r="D24" s="24">
        <v>0</v>
      </c>
      <c r="E24" s="24">
        <v>1.5193620000000001</v>
      </c>
      <c r="F24" s="24">
        <v>0.26986599999999999</v>
      </c>
      <c r="G24" s="24">
        <v>5.9598240000000002</v>
      </c>
      <c r="H24" s="24">
        <v>2.0610000000000004</v>
      </c>
      <c r="I24" s="24">
        <v>0.58499999999999996</v>
      </c>
      <c r="J24" s="24">
        <v>3.5438000000000001</v>
      </c>
      <c r="K24" s="130">
        <v>0.35203000000000001</v>
      </c>
      <c r="L24" s="130"/>
      <c r="M24" s="130">
        <f>3.086+82.242+0.511-0.195+2.651</f>
        <v>88.295000000000002</v>
      </c>
      <c r="N24" s="130">
        <v>8.4699999999999998E-2</v>
      </c>
      <c r="O24" s="130">
        <v>-0.22900000000000001</v>
      </c>
      <c r="P24" s="130">
        <f>0.788721-0.088721+0.04</f>
        <v>0.74</v>
      </c>
      <c r="Q24" s="130"/>
      <c r="R24" s="130"/>
      <c r="S24" s="130"/>
      <c r="T24" s="130"/>
      <c r="U24" s="130"/>
      <c r="V24" s="130"/>
      <c r="W24" s="130"/>
      <c r="X24" s="130">
        <f>0.041+0.462+1.466</f>
        <v>1.9689999999999999</v>
      </c>
      <c r="Y24" s="130"/>
      <c r="Z24" s="148">
        <v>0.10100000000000001</v>
      </c>
      <c r="AA24" s="130">
        <f>0.04-0.0145-0.212568-0.106965+0.0065+0.0914+0.04</f>
        <v>-0.15613299999999999</v>
      </c>
      <c r="AB24" s="130"/>
      <c r="AC24" s="130"/>
      <c r="AD24" s="130">
        <v>0.27975</v>
      </c>
      <c r="AE24" s="130"/>
      <c r="AF24" s="130">
        <v>1.028</v>
      </c>
      <c r="AG24" s="130">
        <v>0.495</v>
      </c>
      <c r="AH24" s="130"/>
      <c r="AI24" s="130"/>
      <c r="AJ24" s="130"/>
      <c r="AK24" s="130"/>
      <c r="AL24" s="130"/>
      <c r="AM24" s="130"/>
      <c r="AN24" s="130"/>
      <c r="AO24" s="130"/>
      <c r="AP24" s="130"/>
      <c r="AQ24" s="130">
        <v>0.1</v>
      </c>
      <c r="AR24" s="130">
        <v>2.4E-2</v>
      </c>
      <c r="AS24" s="130">
        <v>2.5000000000000001E-2</v>
      </c>
      <c r="AT24" s="130">
        <v>2.5000000000000001E-2</v>
      </c>
      <c r="AU24" s="130">
        <v>-85.403999999999996</v>
      </c>
      <c r="AV24" s="130">
        <v>1.0680000000000001</v>
      </c>
      <c r="AW24" s="130">
        <v>0.39820499999999998</v>
      </c>
      <c r="AX24" s="130">
        <f>-(0.99+0.37+0.018)</f>
        <v>-1.3779999999999999</v>
      </c>
      <c r="AY24" s="130">
        <v>0.22408400000000001</v>
      </c>
      <c r="AZ24" s="130">
        <v>1.0740000000000001</v>
      </c>
      <c r="BA24" s="130">
        <v>1.9339999999999999</v>
      </c>
      <c r="BB24" s="130">
        <v>0.02</v>
      </c>
      <c r="BC24" s="130">
        <v>0.3</v>
      </c>
      <c r="BD24" s="130">
        <v>7.1901000000000007E-2</v>
      </c>
      <c r="BE24" s="130"/>
      <c r="BF24" s="130">
        <v>7.8E-2</v>
      </c>
      <c r="BG24" s="130">
        <v>1.1439999999999999</v>
      </c>
      <c r="BH24" s="130">
        <v>0.79</v>
      </c>
      <c r="BI24" s="130"/>
      <c r="BJ24" s="130"/>
      <c r="BK24" s="130">
        <v>1.1000000000000001</v>
      </c>
      <c r="BL24" s="130">
        <v>2.9819999999999998E-3</v>
      </c>
      <c r="BM24" s="130">
        <v>4.8658E-2</v>
      </c>
      <c r="BN24" s="130">
        <v>0.27700000000000002</v>
      </c>
      <c r="BO24" s="130">
        <v>6.2920000000000004E-2</v>
      </c>
      <c r="BP24" s="130">
        <v>0.110064</v>
      </c>
      <c r="BQ24" s="130">
        <v>1.2170000000000001</v>
      </c>
      <c r="BR24" s="130">
        <v>7.4325000000000002E-2</v>
      </c>
      <c r="BS24" s="130"/>
      <c r="BT24" s="130"/>
      <c r="BU24" s="130"/>
      <c r="BV24" s="130"/>
      <c r="BW24" s="130"/>
      <c r="BX24" s="130"/>
      <c r="BY24" s="130"/>
      <c r="BZ24" s="130">
        <v>7.6904E-2</v>
      </c>
      <c r="CA24" s="130">
        <v>0.25</v>
      </c>
      <c r="CB24" s="130">
        <v>0.76</v>
      </c>
      <c r="CC24" s="130">
        <v>5.1999999999999998E-2</v>
      </c>
      <c r="CD24" s="130">
        <v>8.4000000000000005E-2</v>
      </c>
      <c r="CE24" s="130">
        <v>0.27200000000000002</v>
      </c>
      <c r="CF24" s="130">
        <v>1.7949999999999999</v>
      </c>
      <c r="CG24" s="130">
        <v>1.395</v>
      </c>
      <c r="CH24" s="130">
        <v>0.06</v>
      </c>
      <c r="CI24" s="130">
        <v>0.44</v>
      </c>
      <c r="CJ24" s="130">
        <v>0.15</v>
      </c>
      <c r="CK24" s="130"/>
      <c r="CL24" s="130">
        <v>6.7904999999999993E-2</v>
      </c>
      <c r="CM24" s="130"/>
      <c r="CN24" s="130">
        <v>0.104962</v>
      </c>
      <c r="CO24" s="130">
        <v>0.101187</v>
      </c>
      <c r="CP24" s="130">
        <v>5.0770000000000003E-2</v>
      </c>
      <c r="CQ24" s="130">
        <v>0.20024700000000001</v>
      </c>
      <c r="CR24" s="130">
        <v>1.034</v>
      </c>
      <c r="CS24" s="130">
        <v>4.0170000000000003</v>
      </c>
      <c r="CT24" s="130">
        <v>0.52700000000000002</v>
      </c>
      <c r="CU24" s="130">
        <v>1.282</v>
      </c>
      <c r="CV24" s="130">
        <v>0.01</v>
      </c>
      <c r="CW24" s="130">
        <v>0.96799999999999997</v>
      </c>
      <c r="CX24" s="130"/>
      <c r="CY24" s="130"/>
      <c r="CZ24" s="130"/>
      <c r="DA24" s="130">
        <v>0.496</v>
      </c>
      <c r="DB24" s="130">
        <v>3.7519999999999998</v>
      </c>
      <c r="DC24" s="508"/>
      <c r="DD24" s="100">
        <f>SUM(B24:DC24)</f>
        <v>48.231313000000029</v>
      </c>
      <c r="DF24" s="135"/>
      <c r="DG24" s="9"/>
      <c r="DH24" s="198"/>
    </row>
    <row r="25" spans="1:112" ht="15.6" x14ac:dyDescent="0.3">
      <c r="A25" s="2"/>
      <c r="B25" s="24"/>
      <c r="C25" s="24"/>
      <c r="D25" s="24"/>
      <c r="E25" s="24"/>
      <c r="F25" s="24"/>
      <c r="G25" s="24"/>
      <c r="H25" s="24"/>
      <c r="I25" s="24"/>
      <c r="J25" s="24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00"/>
      <c r="DF25" s="135"/>
      <c r="DG25" s="9"/>
      <c r="DH25" s="198"/>
    </row>
    <row r="26" spans="1:112" ht="15.6" x14ac:dyDescent="0.3">
      <c r="A26" s="2" t="s">
        <v>83</v>
      </c>
      <c r="B26" s="159">
        <f t="shared" ref="B26:AG26" si="42">B20+B8+B10+B12+B14+B16+B18+B22+B24</f>
        <v>1.6691220000000002</v>
      </c>
      <c r="C26" s="159">
        <f t="shared" si="42"/>
        <v>7.9883069999999989</v>
      </c>
      <c r="D26" s="159">
        <f t="shared" si="42"/>
        <v>8.1415259999999989</v>
      </c>
      <c r="E26" s="159">
        <f t="shared" si="42"/>
        <v>5.4023450000000004</v>
      </c>
      <c r="F26" s="159">
        <f t="shared" si="42"/>
        <v>8.8778389999999998</v>
      </c>
      <c r="G26" s="159">
        <f t="shared" si="42"/>
        <v>5.9598240000000002</v>
      </c>
      <c r="H26" s="159">
        <f t="shared" si="42"/>
        <v>2.0610000000000004</v>
      </c>
      <c r="I26" s="159">
        <f t="shared" si="42"/>
        <v>0.58499999999999996</v>
      </c>
      <c r="J26" s="159">
        <f t="shared" si="42"/>
        <v>3.5438000000000001</v>
      </c>
      <c r="K26" s="159">
        <f t="shared" si="42"/>
        <v>0.35203000000000001</v>
      </c>
      <c r="L26" s="159">
        <f t="shared" si="42"/>
        <v>-0.15880900000000001</v>
      </c>
      <c r="M26" s="159">
        <f t="shared" si="42"/>
        <v>88.295000000000002</v>
      </c>
      <c r="N26" s="159">
        <f t="shared" si="42"/>
        <v>8.4699999999999998E-2</v>
      </c>
      <c r="O26" s="159">
        <f t="shared" si="42"/>
        <v>-0.22900000000000001</v>
      </c>
      <c r="P26" s="159">
        <f t="shared" si="42"/>
        <v>0.74</v>
      </c>
      <c r="Q26" s="159">
        <f t="shared" si="42"/>
        <v>7.3380000000000001E-2</v>
      </c>
      <c r="R26" s="159">
        <f t="shared" si="42"/>
        <v>4.9000000000000002E-2</v>
      </c>
      <c r="S26" s="159">
        <f t="shared" si="42"/>
        <v>6.3600000000000004E-2</v>
      </c>
      <c r="T26" s="159">
        <f t="shared" si="42"/>
        <v>0.28489999999999999</v>
      </c>
      <c r="U26" s="159">
        <f t="shared" si="42"/>
        <v>4.9038999999999999E-2</v>
      </c>
      <c r="V26" s="159">
        <f t="shared" si="42"/>
        <v>7.0000000000000007E-2</v>
      </c>
      <c r="W26" s="159">
        <f t="shared" si="42"/>
        <v>-6.3812999999999995E-2</v>
      </c>
      <c r="X26" s="159">
        <f t="shared" si="42"/>
        <v>1.9689999999999999</v>
      </c>
      <c r="Y26" s="159">
        <f t="shared" si="42"/>
        <v>0.10194900000000001</v>
      </c>
      <c r="Z26" s="159">
        <f t="shared" si="42"/>
        <v>0.10100000000000001</v>
      </c>
      <c r="AA26" s="159">
        <f t="shared" si="42"/>
        <v>-0.15613299999999999</v>
      </c>
      <c r="AB26" s="159">
        <f t="shared" si="42"/>
        <v>0.126</v>
      </c>
      <c r="AC26" s="159">
        <f t="shared" si="42"/>
        <v>0.52157699999999996</v>
      </c>
      <c r="AD26" s="159">
        <f t="shared" si="42"/>
        <v>0.27975</v>
      </c>
      <c r="AE26" s="159">
        <f t="shared" si="42"/>
        <v>3.1E-2</v>
      </c>
      <c r="AF26" s="159">
        <f t="shared" si="42"/>
        <v>1.028</v>
      </c>
      <c r="AG26" s="159">
        <f t="shared" si="42"/>
        <v>0.495</v>
      </c>
      <c r="AH26" s="159">
        <f t="shared" ref="AH26:CF26" si="43">AH20+AH8+AH10+AH12+AH14+AH16+AH18+AH22+AH24</f>
        <v>-2.0611999999999998E-2</v>
      </c>
      <c r="AI26" s="159">
        <f t="shared" si="43"/>
        <v>-1.3965999999999999E-2</v>
      </c>
      <c r="AJ26" s="159">
        <f t="shared" si="43"/>
        <v>7.9905000000000004E-2</v>
      </c>
      <c r="AK26" s="159">
        <f t="shared" si="43"/>
        <v>4.4448000000000001E-2</v>
      </c>
      <c r="AL26" s="159">
        <f t="shared" si="43"/>
        <v>2.4303000000000002E-2</v>
      </c>
      <c r="AM26" s="159">
        <f t="shared" si="43"/>
        <v>6.1020999999999999E-2</v>
      </c>
      <c r="AN26" s="159">
        <f t="shared" si="43"/>
        <v>1.2152E-2</v>
      </c>
      <c r="AO26" s="159">
        <f t="shared" si="43"/>
        <v>1.4914E-2</v>
      </c>
      <c r="AP26" s="159">
        <f t="shared" si="43"/>
        <v>8.5500000000000007E-2</v>
      </c>
      <c r="AQ26" s="159">
        <f t="shared" si="43"/>
        <v>0.1</v>
      </c>
      <c r="AR26" s="159">
        <f t="shared" si="43"/>
        <v>2.4E-2</v>
      </c>
      <c r="AS26" s="159">
        <f t="shared" si="43"/>
        <v>2.5000000000000001E-2</v>
      </c>
      <c r="AT26" s="159">
        <f t="shared" si="43"/>
        <v>2.5000000000000001E-2</v>
      </c>
      <c r="AU26" s="159">
        <f t="shared" si="43"/>
        <v>-85.403999999999996</v>
      </c>
      <c r="AV26" s="159">
        <f t="shared" si="43"/>
        <v>1.0680000000000001</v>
      </c>
      <c r="AW26" s="159">
        <f t="shared" si="43"/>
        <v>0.39820499999999998</v>
      </c>
      <c r="AX26" s="159">
        <f t="shared" si="43"/>
        <v>-1.3779999999999999</v>
      </c>
      <c r="AY26" s="159">
        <f t="shared" si="43"/>
        <v>0.22408400000000001</v>
      </c>
      <c r="AZ26" s="159">
        <f t="shared" si="43"/>
        <v>1.0740000000000001</v>
      </c>
      <c r="BA26" s="159">
        <f t="shared" si="43"/>
        <v>1.9339999999999999</v>
      </c>
      <c r="BB26" s="159">
        <f t="shared" si="43"/>
        <v>0.02</v>
      </c>
      <c r="BC26" s="159">
        <f t="shared" si="43"/>
        <v>0.3</v>
      </c>
      <c r="BD26" s="159">
        <f t="shared" si="43"/>
        <v>7.1901000000000007E-2</v>
      </c>
      <c r="BE26" s="159">
        <f t="shared" si="43"/>
        <v>1.0586999999999999E-2</v>
      </c>
      <c r="BF26" s="159">
        <f t="shared" si="43"/>
        <v>7.8E-2</v>
      </c>
      <c r="BG26" s="159">
        <f t="shared" si="43"/>
        <v>1.1439999999999999</v>
      </c>
      <c r="BH26" s="159">
        <f t="shared" si="43"/>
        <v>0.79</v>
      </c>
      <c r="BI26" s="159">
        <f t="shared" si="43"/>
        <v>3.6999999999999998E-2</v>
      </c>
      <c r="BJ26" s="159">
        <f t="shared" si="43"/>
        <v>7.6886999999999997E-2</v>
      </c>
      <c r="BK26" s="159">
        <f t="shared" si="43"/>
        <v>1.1000000000000001</v>
      </c>
      <c r="BL26" s="159">
        <f t="shared" si="43"/>
        <v>2.9819999999999998E-3</v>
      </c>
      <c r="BM26" s="159">
        <f t="shared" si="43"/>
        <v>4.8658E-2</v>
      </c>
      <c r="BN26" s="159">
        <f t="shared" si="43"/>
        <v>0.27700000000000002</v>
      </c>
      <c r="BO26" s="159">
        <f t="shared" si="43"/>
        <v>6.2920000000000004E-2</v>
      </c>
      <c r="BP26" s="159">
        <f t="shared" si="43"/>
        <v>0.110064</v>
      </c>
      <c r="BQ26" s="159">
        <f t="shared" si="43"/>
        <v>1.2170000000000001</v>
      </c>
      <c r="BR26" s="244">
        <f t="shared" si="43"/>
        <v>7.4325000000000002E-2</v>
      </c>
      <c r="BS26" s="244">
        <f t="shared" si="43"/>
        <v>2.7682999999999999E-2</v>
      </c>
      <c r="BT26" s="244">
        <f t="shared" si="43"/>
        <v>0.124848</v>
      </c>
      <c r="BU26" s="244">
        <f t="shared" si="43"/>
        <v>5.2289000000000002E-2</v>
      </c>
      <c r="BV26" s="244">
        <f t="shared" si="43"/>
        <v>3.0672999999999999E-2</v>
      </c>
      <c r="BW26" s="244">
        <f t="shared" si="43"/>
        <v>0.162351</v>
      </c>
      <c r="BX26" s="244">
        <f t="shared" si="43"/>
        <v>0</v>
      </c>
      <c r="BY26" s="244">
        <f t="shared" si="43"/>
        <v>8.856E-2</v>
      </c>
      <c r="BZ26" s="244">
        <f t="shared" si="43"/>
        <v>7.6904E-2</v>
      </c>
      <c r="CA26" s="244">
        <f t="shared" si="43"/>
        <v>0.25</v>
      </c>
      <c r="CB26" s="244">
        <f t="shared" si="43"/>
        <v>0.76</v>
      </c>
      <c r="CC26" s="244">
        <f t="shared" si="43"/>
        <v>5.1999999999999998E-2</v>
      </c>
      <c r="CD26" s="244">
        <f t="shared" si="43"/>
        <v>8.4000000000000005E-2</v>
      </c>
      <c r="CE26" s="244">
        <f t="shared" si="43"/>
        <v>0.27200000000000002</v>
      </c>
      <c r="CF26" s="244">
        <f t="shared" si="43"/>
        <v>1.7949999999999999</v>
      </c>
      <c r="CG26" s="244">
        <f t="shared" ref="CG26:DC26" si="44">CG20+CG8+CG10+CG12+CG14+CG16+CG18+CG22+CG24</f>
        <v>1.395</v>
      </c>
      <c r="CH26" s="244">
        <f t="shared" si="44"/>
        <v>0.06</v>
      </c>
      <c r="CI26" s="244">
        <f t="shared" si="44"/>
        <v>0.44</v>
      </c>
      <c r="CJ26" s="244">
        <f t="shared" si="44"/>
        <v>0.15</v>
      </c>
      <c r="CK26" s="244">
        <f t="shared" si="44"/>
        <v>0.26639400000000002</v>
      </c>
      <c r="CL26" s="244">
        <f t="shared" si="44"/>
        <v>6.7904999999999993E-2</v>
      </c>
      <c r="CM26" s="244">
        <f t="shared" si="44"/>
        <v>0.21332200000000001</v>
      </c>
      <c r="CN26" s="244">
        <f t="shared" si="44"/>
        <v>0.104962</v>
      </c>
      <c r="CO26" s="244">
        <f t="shared" si="44"/>
        <v>0.101187</v>
      </c>
      <c r="CP26" s="244">
        <f t="shared" si="44"/>
        <v>5.0770000000000003E-2</v>
      </c>
      <c r="CQ26" s="244">
        <f t="shared" si="44"/>
        <v>0.20024700000000001</v>
      </c>
      <c r="CR26" s="244">
        <f t="shared" si="44"/>
        <v>1.034</v>
      </c>
      <c r="CS26" s="244">
        <f t="shared" si="44"/>
        <v>4.0170000000000003</v>
      </c>
      <c r="CT26" s="244">
        <f t="shared" si="44"/>
        <v>0.52700000000000002</v>
      </c>
      <c r="CU26" s="244">
        <f t="shared" si="44"/>
        <v>1.282</v>
      </c>
      <c r="CV26" s="244">
        <f t="shared" si="44"/>
        <v>0.01</v>
      </c>
      <c r="CW26" s="244">
        <f t="shared" si="44"/>
        <v>0.96799999999999997</v>
      </c>
      <c r="CX26" s="244">
        <f t="shared" si="44"/>
        <v>9.6475000000000005E-2</v>
      </c>
      <c r="CY26" s="244">
        <f t="shared" si="44"/>
        <v>-1.8244E-2</v>
      </c>
      <c r="CZ26" s="244">
        <f t="shared" si="44"/>
        <v>0.157189</v>
      </c>
      <c r="DA26" s="244">
        <f t="shared" si="44"/>
        <v>0.496</v>
      </c>
      <c r="DB26" s="244">
        <f t="shared" si="44"/>
        <v>3.7519999999999998</v>
      </c>
      <c r="DC26" s="244">
        <f t="shared" si="44"/>
        <v>0</v>
      </c>
      <c r="DD26" s="247">
        <f>SUM(B26:DC26)</f>
        <v>81.282725999999954</v>
      </c>
      <c r="DF26" s="135"/>
      <c r="DG26" s="9"/>
      <c r="DH26" s="198"/>
    </row>
    <row r="27" spans="1:112" ht="15.6" x14ac:dyDescent="0.3">
      <c r="A27" s="2"/>
      <c r="B27" s="24"/>
      <c r="C27" s="24"/>
      <c r="D27" s="24"/>
      <c r="E27" s="24"/>
      <c r="F27" s="24"/>
      <c r="G27" s="24"/>
      <c r="H27" s="24"/>
      <c r="I27" s="24"/>
      <c r="J27" s="24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00"/>
      <c r="DF27" s="135"/>
      <c r="DG27" s="9"/>
      <c r="DH27" s="198"/>
    </row>
    <row r="28" spans="1:112" ht="15.6" x14ac:dyDescent="0.3">
      <c r="A28" s="2"/>
      <c r="B28" s="24"/>
      <c r="C28" s="24"/>
      <c r="D28" s="24"/>
      <c r="E28" s="24"/>
      <c r="F28" s="24"/>
      <c r="G28" s="24"/>
      <c r="H28" s="24"/>
      <c r="I28" s="24"/>
      <c r="J28" s="24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00"/>
      <c r="DF28" s="135"/>
      <c r="DG28" s="9"/>
      <c r="DH28" s="198"/>
    </row>
    <row r="29" spans="1:112" ht="15.6" x14ac:dyDescent="0.3">
      <c r="A29" s="2" t="s">
        <v>43</v>
      </c>
      <c r="B29" s="24">
        <v>7.3369000000000004E-2</v>
      </c>
      <c r="C29" s="24">
        <v>0.47622199999999998</v>
      </c>
      <c r="D29" s="24">
        <v>0</v>
      </c>
      <c r="E29" s="24">
        <v>4.4997000000000002E-2</v>
      </c>
      <c r="F29" s="24">
        <v>0</v>
      </c>
      <c r="G29" s="24">
        <v>0</v>
      </c>
      <c r="H29" s="24">
        <v>0</v>
      </c>
      <c r="I29" s="24"/>
      <c r="J29" s="24">
        <v>0</v>
      </c>
      <c r="K29" s="130"/>
      <c r="L29" s="130"/>
      <c r="M29" s="130"/>
      <c r="N29" s="130"/>
      <c r="O29" s="130"/>
      <c r="P29" s="130"/>
      <c r="Q29" s="130"/>
      <c r="R29" s="130">
        <v>7.0000000000000001E-3</v>
      </c>
      <c r="S29" s="130">
        <v>2.7000000000000001E-3</v>
      </c>
      <c r="T29" s="130">
        <v>7.7000000000000002E-3</v>
      </c>
      <c r="U29" s="130"/>
      <c r="V29" s="130">
        <v>0.01</v>
      </c>
      <c r="W29" s="130"/>
      <c r="X29" s="130"/>
      <c r="Y29" s="130"/>
      <c r="Z29" s="130"/>
      <c r="AA29" s="130"/>
      <c r="AB29" s="130">
        <v>1.7999999999999999E-2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>
        <v>1.6045E-2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00">
        <f>SUM(B29:DC29)</f>
        <v>0.65603299999999998</v>
      </c>
      <c r="DF29" s="135"/>
      <c r="DG29" s="9"/>
      <c r="DH29" s="198"/>
    </row>
    <row r="30" spans="1:112" ht="15.6" x14ac:dyDescent="0.3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00"/>
      <c r="DF30" s="135"/>
      <c r="DG30" s="9"/>
      <c r="DH30" s="198"/>
    </row>
    <row r="31" spans="1:112" ht="15.6" x14ac:dyDescent="0.3">
      <c r="A31" s="2" t="s">
        <v>44</v>
      </c>
      <c r="B31" s="24">
        <v>4.7E-2</v>
      </c>
      <c r="C31" s="24">
        <f>0.186864-0.035297</f>
        <v>0.15156700000000001</v>
      </c>
      <c r="D31" s="24">
        <f>0.477819-0.242831</f>
        <v>0.234988</v>
      </c>
      <c r="E31" s="24">
        <v>0.105527</v>
      </c>
      <c r="F31" s="24">
        <v>0</v>
      </c>
      <c r="G31" s="24">
        <v>0</v>
      </c>
      <c r="H31" s="24">
        <v>0</v>
      </c>
      <c r="I31" s="24"/>
      <c r="J31" s="24">
        <v>0</v>
      </c>
      <c r="K31" s="130"/>
      <c r="L31" s="130"/>
      <c r="M31" s="130"/>
      <c r="N31" s="130"/>
      <c r="O31" s="130"/>
      <c r="P31" s="148">
        <f>0.088721</f>
        <v>8.8720999999999994E-2</v>
      </c>
      <c r="Q31" s="130"/>
      <c r="R31" s="130">
        <v>7.0000000000000001E-3</v>
      </c>
      <c r="S31" s="130">
        <v>2.5000000000000001E-3</v>
      </c>
      <c r="T31" s="130">
        <v>7.7000000000000002E-3</v>
      </c>
      <c r="U31" s="130">
        <v>1.9610000000000001E-3</v>
      </c>
      <c r="V31" s="130">
        <v>0.01</v>
      </c>
      <c r="W31" s="130">
        <v>-8.8720999999999994E-2</v>
      </c>
      <c r="X31" s="130"/>
      <c r="Y31" s="130"/>
      <c r="Z31" s="130"/>
      <c r="AA31" s="130"/>
      <c r="AB31" s="130">
        <v>1.7999999999999999E-2</v>
      </c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>
        <v>1.0170999999999999E-2</v>
      </c>
      <c r="BX31" s="130">
        <v>-6.9315000000000002E-2</v>
      </c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00">
        <f>SUM(B31:DC31)</f>
        <v>0.5270990000000001</v>
      </c>
      <c r="DF31" s="135"/>
      <c r="DG31" s="9"/>
      <c r="DH31" s="198"/>
    </row>
    <row r="32" spans="1:112" ht="15.6" x14ac:dyDescent="0.3">
      <c r="A32" s="2"/>
      <c r="B32" s="24"/>
      <c r="C32" s="24"/>
      <c r="D32" s="24"/>
      <c r="E32" s="24"/>
      <c r="F32" s="24"/>
      <c r="G32" s="24"/>
      <c r="H32" s="24"/>
      <c r="I32" s="24"/>
      <c r="J32" s="24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00"/>
      <c r="DF32" s="135"/>
      <c r="DG32" s="9"/>
      <c r="DH32" s="198"/>
    </row>
    <row r="33" spans="1:112" ht="15.6" x14ac:dyDescent="0.3">
      <c r="A33" s="2" t="s">
        <v>45</v>
      </c>
      <c r="B33" s="24">
        <v>3.4250000000000003E-2</v>
      </c>
      <c r="C33" s="24">
        <f>0.079818+0.035297</f>
        <v>0.115115</v>
      </c>
      <c r="D33" s="24">
        <f>0.242831</f>
        <v>0.24283099999999999</v>
      </c>
      <c r="E33" s="24">
        <v>0</v>
      </c>
      <c r="F33" s="24">
        <v>0</v>
      </c>
      <c r="G33" s="24">
        <v>0</v>
      </c>
      <c r="H33" s="24">
        <v>0</v>
      </c>
      <c r="I33" s="24"/>
      <c r="J33" s="24">
        <v>0</v>
      </c>
      <c r="K33" s="130"/>
      <c r="L33" s="130"/>
      <c r="M33" s="130"/>
      <c r="N33" s="130"/>
      <c r="O33" s="130"/>
      <c r="P33" s="130"/>
      <c r="Q33" s="130"/>
      <c r="R33" s="130">
        <v>7.0000000000000001E-3</v>
      </c>
      <c r="S33" s="130">
        <v>1.1999999999999999E-3</v>
      </c>
      <c r="T33" s="130">
        <v>7.7000000000000002E-3</v>
      </c>
      <c r="U33" s="130"/>
      <c r="V33" s="130">
        <v>0.01</v>
      </c>
      <c r="W33" s="130"/>
      <c r="X33" s="130"/>
      <c r="Y33" s="130"/>
      <c r="Z33" s="130"/>
      <c r="AA33" s="130"/>
      <c r="AB33" s="130">
        <v>1.7999999999999999E-2</v>
      </c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>
        <v>8.9259999999999999E-3</v>
      </c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00">
        <f>SUM(B33:DC33)</f>
        <v>0.44502199999999997</v>
      </c>
      <c r="DF33" s="135"/>
      <c r="DG33" s="9"/>
      <c r="DH33" s="198"/>
    </row>
    <row r="34" spans="1:112" ht="15.6" x14ac:dyDescent="0.3">
      <c r="A34" s="2"/>
      <c r="B34" s="24"/>
      <c r="C34" s="24"/>
      <c r="D34" s="24"/>
      <c r="E34" s="24"/>
      <c r="F34" s="24"/>
      <c r="G34" s="24"/>
      <c r="H34" s="24"/>
      <c r="I34" s="24"/>
      <c r="J34" s="24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00"/>
      <c r="DF34" s="135"/>
      <c r="DG34" s="9"/>
      <c r="DH34" s="198"/>
    </row>
    <row r="35" spans="1:112" ht="15.6" x14ac:dyDescent="0.3">
      <c r="A35" s="2" t="s">
        <v>146</v>
      </c>
      <c r="B35" s="24"/>
      <c r="C35" s="24"/>
      <c r="D35" s="24"/>
      <c r="E35" s="24"/>
      <c r="F35" s="24"/>
      <c r="G35" s="24"/>
      <c r="H35" s="24"/>
      <c r="I35" s="24"/>
      <c r="J35" s="24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>
        <v>1.1967E-2</v>
      </c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00">
        <f>SUM(B35:DC35)</f>
        <v>1.1967E-2</v>
      </c>
      <c r="DF35" s="135"/>
      <c r="DG35" s="9"/>
      <c r="DH35" s="198"/>
    </row>
    <row r="36" spans="1:112" ht="15.6" x14ac:dyDescent="0.3">
      <c r="A36" s="2"/>
      <c r="B36" s="24"/>
      <c r="C36" s="24"/>
      <c r="D36" s="24"/>
      <c r="E36" s="24"/>
      <c r="F36" s="24"/>
      <c r="G36" s="24"/>
      <c r="H36" s="24"/>
      <c r="I36" s="24"/>
      <c r="J36" s="24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00"/>
      <c r="DF36" s="135"/>
      <c r="DG36" s="9"/>
      <c r="DH36" s="198"/>
    </row>
    <row r="37" spans="1:112" ht="15.6" x14ac:dyDescent="0.3">
      <c r="A37" s="2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>
        <v>1.3851E-2</v>
      </c>
      <c r="BX37" s="130">
        <v>6.9315000000000002E-2</v>
      </c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00">
        <f>SUM(B37:DC37)</f>
        <v>8.3166000000000004E-2</v>
      </c>
      <c r="DF37" s="135"/>
      <c r="DG37" s="9"/>
      <c r="DH37" s="198"/>
    </row>
    <row r="38" spans="1:112" ht="16.2" thickBot="1" x14ac:dyDescent="0.35">
      <c r="A38" s="2"/>
      <c r="B38" s="24"/>
      <c r="C38" s="24"/>
      <c r="D38" s="24"/>
      <c r="E38" s="24"/>
      <c r="F38" s="24"/>
      <c r="G38" s="24"/>
      <c r="H38" s="24"/>
      <c r="I38" s="24"/>
      <c r="J38" s="24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245"/>
      <c r="DF38" s="135"/>
      <c r="DG38" s="9"/>
      <c r="DH38" s="198"/>
    </row>
    <row r="39" spans="1:112" ht="16.2" thickBot="1" x14ac:dyDescent="0.35">
      <c r="A39" s="82" t="s">
        <v>84</v>
      </c>
      <c r="B39" s="160">
        <f t="shared" ref="B39:AG39" si="45">B26+B29+B31+B33</f>
        <v>1.8237410000000001</v>
      </c>
      <c r="C39" s="160">
        <f t="shared" si="45"/>
        <v>8.7312109999999983</v>
      </c>
      <c r="D39" s="160">
        <f t="shared" si="45"/>
        <v>8.6193449999999991</v>
      </c>
      <c r="E39" s="160">
        <f t="shared" si="45"/>
        <v>5.5528690000000012</v>
      </c>
      <c r="F39" s="160">
        <f t="shared" si="45"/>
        <v>8.8778389999999998</v>
      </c>
      <c r="G39" s="160">
        <f t="shared" si="45"/>
        <v>5.9598240000000002</v>
      </c>
      <c r="H39" s="160">
        <f t="shared" si="45"/>
        <v>2.0610000000000004</v>
      </c>
      <c r="I39" s="160">
        <f t="shared" si="45"/>
        <v>0.58499999999999996</v>
      </c>
      <c r="J39" s="160">
        <f t="shared" si="45"/>
        <v>3.5438000000000001</v>
      </c>
      <c r="K39" s="160">
        <f t="shared" si="45"/>
        <v>0.35203000000000001</v>
      </c>
      <c r="L39" s="160">
        <f t="shared" si="45"/>
        <v>-0.15880900000000001</v>
      </c>
      <c r="M39" s="160">
        <f t="shared" si="45"/>
        <v>88.295000000000002</v>
      </c>
      <c r="N39" s="160">
        <f t="shared" si="45"/>
        <v>8.4699999999999998E-2</v>
      </c>
      <c r="O39" s="160">
        <f t="shared" si="45"/>
        <v>-0.22900000000000001</v>
      </c>
      <c r="P39" s="160">
        <f t="shared" si="45"/>
        <v>0.82872100000000004</v>
      </c>
      <c r="Q39" s="160">
        <f t="shared" si="45"/>
        <v>7.3380000000000001E-2</v>
      </c>
      <c r="R39" s="160">
        <f t="shared" si="45"/>
        <v>7.0000000000000007E-2</v>
      </c>
      <c r="S39" s="160">
        <f t="shared" si="45"/>
        <v>7.0000000000000007E-2</v>
      </c>
      <c r="T39" s="160">
        <f t="shared" si="45"/>
        <v>0.30799999999999994</v>
      </c>
      <c r="U39" s="160">
        <f t="shared" si="45"/>
        <v>5.0999999999999997E-2</v>
      </c>
      <c r="V39" s="160">
        <f t="shared" si="45"/>
        <v>9.9999999999999992E-2</v>
      </c>
      <c r="W39" s="160">
        <f t="shared" si="45"/>
        <v>-0.152534</v>
      </c>
      <c r="X39" s="160">
        <f t="shared" si="45"/>
        <v>1.9689999999999999</v>
      </c>
      <c r="Y39" s="160">
        <f t="shared" si="45"/>
        <v>0.10194900000000001</v>
      </c>
      <c r="Z39" s="160">
        <f t="shared" si="45"/>
        <v>0.10100000000000001</v>
      </c>
      <c r="AA39" s="160">
        <f t="shared" si="45"/>
        <v>-0.15613299999999999</v>
      </c>
      <c r="AB39" s="160">
        <f t="shared" si="45"/>
        <v>0.17999999999999997</v>
      </c>
      <c r="AC39" s="160">
        <f t="shared" si="45"/>
        <v>0.52157699999999996</v>
      </c>
      <c r="AD39" s="160">
        <f t="shared" si="45"/>
        <v>0.27975</v>
      </c>
      <c r="AE39" s="160">
        <f t="shared" si="45"/>
        <v>3.1E-2</v>
      </c>
      <c r="AF39" s="160">
        <f t="shared" si="45"/>
        <v>1.028</v>
      </c>
      <c r="AG39" s="160">
        <f t="shared" si="45"/>
        <v>0.495</v>
      </c>
      <c r="AH39" s="160">
        <f t="shared" ref="AH39:BM39" si="46">AH26+AH29+AH31+AH33</f>
        <v>-2.0611999999999998E-2</v>
      </c>
      <c r="AI39" s="160">
        <f t="shared" si="46"/>
        <v>-1.3965999999999999E-2</v>
      </c>
      <c r="AJ39" s="160">
        <f t="shared" si="46"/>
        <v>7.9905000000000004E-2</v>
      </c>
      <c r="AK39" s="160">
        <f t="shared" si="46"/>
        <v>4.4448000000000001E-2</v>
      </c>
      <c r="AL39" s="160">
        <f t="shared" si="46"/>
        <v>2.4303000000000002E-2</v>
      </c>
      <c r="AM39" s="160">
        <f t="shared" si="46"/>
        <v>6.1020999999999999E-2</v>
      </c>
      <c r="AN39" s="160">
        <f t="shared" si="46"/>
        <v>1.2152E-2</v>
      </c>
      <c r="AO39" s="160">
        <f t="shared" si="46"/>
        <v>1.4914E-2</v>
      </c>
      <c r="AP39" s="160">
        <f t="shared" si="46"/>
        <v>8.5500000000000007E-2</v>
      </c>
      <c r="AQ39" s="160">
        <f t="shared" si="46"/>
        <v>0.1</v>
      </c>
      <c r="AR39" s="160">
        <f t="shared" si="46"/>
        <v>2.4E-2</v>
      </c>
      <c r="AS39" s="160">
        <f t="shared" si="46"/>
        <v>2.5000000000000001E-2</v>
      </c>
      <c r="AT39" s="160">
        <f t="shared" si="46"/>
        <v>2.5000000000000001E-2</v>
      </c>
      <c r="AU39" s="160">
        <f t="shared" si="46"/>
        <v>-85.403999999999996</v>
      </c>
      <c r="AV39" s="160">
        <f t="shared" si="46"/>
        <v>1.0680000000000001</v>
      </c>
      <c r="AW39" s="160">
        <f t="shared" si="46"/>
        <v>0.39820499999999998</v>
      </c>
      <c r="AX39" s="160">
        <f t="shared" si="46"/>
        <v>-1.3779999999999999</v>
      </c>
      <c r="AY39" s="160">
        <f t="shared" si="46"/>
        <v>0.22408400000000001</v>
      </c>
      <c r="AZ39" s="160">
        <f t="shared" si="46"/>
        <v>1.0740000000000001</v>
      </c>
      <c r="BA39" s="160">
        <f t="shared" si="46"/>
        <v>1.9339999999999999</v>
      </c>
      <c r="BB39" s="160">
        <f t="shared" si="46"/>
        <v>0.02</v>
      </c>
      <c r="BC39" s="160">
        <f t="shared" si="46"/>
        <v>0.3</v>
      </c>
      <c r="BD39" s="160">
        <f t="shared" si="46"/>
        <v>7.1901000000000007E-2</v>
      </c>
      <c r="BE39" s="160">
        <f t="shared" si="46"/>
        <v>1.0586999999999999E-2</v>
      </c>
      <c r="BF39" s="160">
        <f t="shared" si="46"/>
        <v>7.8E-2</v>
      </c>
      <c r="BG39" s="160">
        <f t="shared" si="46"/>
        <v>1.1439999999999999</v>
      </c>
      <c r="BH39" s="160">
        <f t="shared" si="46"/>
        <v>0.79</v>
      </c>
      <c r="BI39" s="160">
        <f t="shared" si="46"/>
        <v>3.6999999999999998E-2</v>
      </c>
      <c r="BJ39" s="160">
        <f t="shared" si="46"/>
        <v>7.6886999999999997E-2</v>
      </c>
      <c r="BK39" s="160">
        <f t="shared" si="46"/>
        <v>1.1000000000000001</v>
      </c>
      <c r="BL39" s="160">
        <f t="shared" si="46"/>
        <v>2.9819999999999998E-3</v>
      </c>
      <c r="BM39" s="160">
        <f t="shared" si="46"/>
        <v>4.8658E-2</v>
      </c>
      <c r="BN39" s="160">
        <f t="shared" ref="BN39:BV39" si="47">BN26+BN29+BN31+BN33</f>
        <v>0.27700000000000002</v>
      </c>
      <c r="BO39" s="160">
        <f t="shared" si="47"/>
        <v>6.2920000000000004E-2</v>
      </c>
      <c r="BP39" s="160">
        <f t="shared" si="47"/>
        <v>0.110064</v>
      </c>
      <c r="BQ39" s="160">
        <f t="shared" si="47"/>
        <v>1.2170000000000001</v>
      </c>
      <c r="BR39" s="200">
        <f t="shared" si="47"/>
        <v>7.4325000000000002E-2</v>
      </c>
      <c r="BS39" s="200">
        <f t="shared" si="47"/>
        <v>2.7682999999999999E-2</v>
      </c>
      <c r="BT39" s="200">
        <f t="shared" si="47"/>
        <v>0.124848</v>
      </c>
      <c r="BU39" s="200">
        <f t="shared" si="47"/>
        <v>5.2289000000000002E-2</v>
      </c>
      <c r="BV39" s="200">
        <f t="shared" si="47"/>
        <v>3.0672999999999999E-2</v>
      </c>
      <c r="BW39" s="200">
        <f>BW26+BW29+BW31+BW33+BW35+BW37</f>
        <v>0.22331099999999998</v>
      </c>
      <c r="BX39" s="200">
        <f>BX26+BX29+BX31+BX33+BX35+BX37</f>
        <v>0</v>
      </c>
      <c r="BY39" s="200">
        <f t="shared" ref="BY39:CF39" si="48">BY26+BY29+BY31+BY33+BY35+BY37</f>
        <v>8.856E-2</v>
      </c>
      <c r="BZ39" s="200">
        <f t="shared" si="48"/>
        <v>7.6904E-2</v>
      </c>
      <c r="CA39" s="200">
        <f t="shared" si="48"/>
        <v>0.25</v>
      </c>
      <c r="CB39" s="200">
        <f t="shared" si="48"/>
        <v>0.76</v>
      </c>
      <c r="CC39" s="200">
        <f t="shared" si="48"/>
        <v>5.1999999999999998E-2</v>
      </c>
      <c r="CD39" s="200">
        <f t="shared" si="48"/>
        <v>8.4000000000000005E-2</v>
      </c>
      <c r="CE39" s="200">
        <f t="shared" si="48"/>
        <v>0.27200000000000002</v>
      </c>
      <c r="CF39" s="200">
        <f t="shared" si="48"/>
        <v>1.7949999999999999</v>
      </c>
      <c r="CG39" s="200">
        <f t="shared" ref="CG39:DC39" si="49">CG26+CG29+CG31+CG33+CG35+CG37</f>
        <v>1.395</v>
      </c>
      <c r="CH39" s="200">
        <f t="shared" si="49"/>
        <v>0.06</v>
      </c>
      <c r="CI39" s="200">
        <f t="shared" si="49"/>
        <v>0.44</v>
      </c>
      <c r="CJ39" s="200">
        <f t="shared" si="49"/>
        <v>0.15</v>
      </c>
      <c r="CK39" s="200">
        <f t="shared" si="49"/>
        <v>0.26639400000000002</v>
      </c>
      <c r="CL39" s="200">
        <f t="shared" si="49"/>
        <v>6.7904999999999993E-2</v>
      </c>
      <c r="CM39" s="200">
        <f t="shared" si="49"/>
        <v>0.21332200000000001</v>
      </c>
      <c r="CN39" s="200">
        <f t="shared" si="49"/>
        <v>0.104962</v>
      </c>
      <c r="CO39" s="200">
        <f t="shared" si="49"/>
        <v>0.101187</v>
      </c>
      <c r="CP39" s="200">
        <f t="shared" si="49"/>
        <v>5.0770000000000003E-2</v>
      </c>
      <c r="CQ39" s="200">
        <f t="shared" si="49"/>
        <v>0.20024700000000001</v>
      </c>
      <c r="CR39" s="200">
        <f t="shared" si="49"/>
        <v>1.034</v>
      </c>
      <c r="CS39" s="200">
        <f t="shared" si="49"/>
        <v>4.0170000000000003</v>
      </c>
      <c r="CT39" s="200">
        <f t="shared" si="49"/>
        <v>0.52700000000000002</v>
      </c>
      <c r="CU39" s="200">
        <f t="shared" si="49"/>
        <v>1.282</v>
      </c>
      <c r="CV39" s="200">
        <f t="shared" si="49"/>
        <v>0.01</v>
      </c>
      <c r="CW39" s="200">
        <f t="shared" si="49"/>
        <v>0.96799999999999997</v>
      </c>
      <c r="CX39" s="200">
        <f t="shared" si="49"/>
        <v>9.6475000000000005E-2</v>
      </c>
      <c r="CY39" s="200">
        <f t="shared" si="49"/>
        <v>-1.8244E-2</v>
      </c>
      <c r="CZ39" s="200">
        <f t="shared" si="49"/>
        <v>0.157189</v>
      </c>
      <c r="DA39" s="200">
        <f t="shared" si="49"/>
        <v>0.496</v>
      </c>
      <c r="DB39" s="200">
        <f t="shared" si="49"/>
        <v>3.7519999999999998</v>
      </c>
      <c r="DC39" s="200">
        <f t="shared" si="49"/>
        <v>0</v>
      </c>
      <c r="DD39" s="248">
        <f>SUM(B39:DC39)</f>
        <v>83.006012999999939</v>
      </c>
      <c r="DF39" s="161">
        <f>SUM(DF8:DF38)</f>
        <v>32.844194999999999</v>
      </c>
      <c r="DG39" s="9"/>
      <c r="DH39" s="199">
        <f>SUM(DH8:DH20)</f>
        <v>-0.23541999999999952</v>
      </c>
    </row>
    <row r="40" spans="1:112" ht="15.6" x14ac:dyDescent="0.3">
      <c r="B40" s="241"/>
      <c r="C40" s="242"/>
      <c r="D40" s="242"/>
    </row>
    <row r="41" spans="1:112" ht="15.6" x14ac:dyDescent="0.3">
      <c r="B41" s="241"/>
      <c r="C41" s="242"/>
      <c r="D41" s="242"/>
      <c r="E41" s="241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12" x14ac:dyDescent="0.25"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</row>
    <row r="43" spans="1:112" ht="17.399999999999999" x14ac:dyDescent="0.3">
      <c r="A43" s="184"/>
      <c r="DD43" s="178"/>
      <c r="DF43" s="178"/>
    </row>
  </sheetData>
  <pageMargins left="0.25" right="0.25" top="0.75" bottom="0.75" header="0.3" footer="0.3"/>
  <pageSetup paperSize="8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C26A-A421-49D7-A456-2BA00295FC13}">
  <sheetPr>
    <tabColor rgb="FFFFFF99"/>
    <pageSetUpPr fitToPage="1"/>
  </sheetPr>
  <dimension ref="A1:AI108"/>
  <sheetViews>
    <sheetView zoomScale="54" zoomScaleNormal="54" workbookViewId="0">
      <pane xSplit="1" topLeftCell="B1" activePane="topRight" state="frozen"/>
      <selection activeCell="K4" sqref="K4"/>
      <selection pane="topRight" activeCell="K4" sqref="K4"/>
    </sheetView>
  </sheetViews>
  <sheetFormatPr defaultColWidth="8.90625" defaultRowHeight="15" x14ac:dyDescent="0.25"/>
  <cols>
    <col min="1" max="1" width="35.90625" style="415" bestFit="1" customWidth="1"/>
    <col min="2" max="2" width="15.08984375" style="415" customWidth="1"/>
    <col min="3" max="3" width="11.453125" style="415" customWidth="1"/>
    <col min="4" max="5" width="11.54296875" style="415" customWidth="1"/>
    <col min="6" max="6" width="11.453125" style="415" customWidth="1"/>
    <col min="7" max="7" width="10.1796875" style="415" customWidth="1"/>
    <col min="8" max="8" width="10.1796875" style="415" bestFit="1" customWidth="1"/>
    <col min="9" max="9" width="9.1796875" style="415" customWidth="1"/>
    <col min="10" max="10" width="8.90625" style="415"/>
    <col min="11" max="11" width="9.1796875" style="415" customWidth="1"/>
    <col min="12" max="12" width="8.90625" style="415"/>
    <col min="13" max="13" width="9.1796875" style="415" customWidth="1"/>
    <col min="14" max="14" width="10.36328125" style="415" customWidth="1"/>
    <col min="15" max="15" width="9.1796875" style="415" customWidth="1"/>
    <col min="16" max="20" width="8.90625" style="415"/>
    <col min="21" max="21" width="12.1796875" style="415" customWidth="1"/>
    <col min="22" max="22" width="8.90625" style="415"/>
    <col min="23" max="23" width="10.36328125" style="415" customWidth="1"/>
    <col min="24" max="24" width="9.36328125" style="415" customWidth="1"/>
    <col min="25" max="28" width="8.90625" style="415"/>
    <col min="29" max="29" width="9.6328125" style="415" bestFit="1" customWidth="1"/>
    <col min="30" max="30" width="11.08984375" style="415" customWidth="1"/>
    <col min="31" max="31" width="8.08984375" style="415" customWidth="1"/>
    <col min="32" max="16384" width="8.90625" style="415"/>
  </cols>
  <sheetData>
    <row r="1" spans="1:2" ht="15.6" x14ac:dyDescent="0.3">
      <c r="A1" s="414" t="s">
        <v>284</v>
      </c>
    </row>
    <row r="3" spans="1:2" ht="15.6" thickBot="1" x14ac:dyDescent="0.3"/>
    <row r="4" spans="1:2" ht="15.6" x14ac:dyDescent="0.3">
      <c r="A4" s="416"/>
      <c r="B4" s="417">
        <f>+A4+1</f>
        <v>1</v>
      </c>
    </row>
    <row r="5" spans="1:2" s="419" customFormat="1" ht="42" customHeight="1" thickBot="1" x14ac:dyDescent="0.3">
      <c r="A5" s="418"/>
      <c r="B5" s="506" t="s">
        <v>243</v>
      </c>
    </row>
    <row r="6" spans="1:2" x14ac:dyDescent="0.25">
      <c r="A6" s="420"/>
      <c r="B6" s="421" t="s">
        <v>15</v>
      </c>
    </row>
    <row r="7" spans="1:2" ht="15.6" x14ac:dyDescent="0.25">
      <c r="A7" s="422"/>
      <c r="B7" s="423"/>
    </row>
    <row r="8" spans="1:2" ht="15.6" x14ac:dyDescent="0.25">
      <c r="A8" s="424" t="s">
        <v>20</v>
      </c>
      <c r="B8" s="425">
        <f>D100</f>
        <v>50.863414422084333</v>
      </c>
    </row>
    <row r="9" spans="1:2" ht="15.6" x14ac:dyDescent="0.25">
      <c r="A9" s="424"/>
      <c r="B9" s="425"/>
    </row>
    <row r="10" spans="1:2" ht="15.6" x14ac:dyDescent="0.25">
      <c r="A10" s="424" t="s">
        <v>29</v>
      </c>
      <c r="B10" s="425">
        <f>F100</f>
        <v>39.81942535350214</v>
      </c>
    </row>
    <row r="11" spans="1:2" ht="15.6" x14ac:dyDescent="0.25">
      <c r="A11" s="424"/>
      <c r="B11" s="425"/>
    </row>
    <row r="12" spans="1:2" ht="15.6" x14ac:dyDescent="0.25">
      <c r="A12" s="424" t="s">
        <v>21</v>
      </c>
      <c r="B12" s="425">
        <f>H100</f>
        <v>33.790068263336273</v>
      </c>
    </row>
    <row r="13" spans="1:2" ht="15.6" x14ac:dyDescent="0.25">
      <c r="A13" s="424"/>
      <c r="B13" s="425"/>
    </row>
    <row r="14" spans="1:2" ht="15.6" x14ac:dyDescent="0.25">
      <c r="A14" s="424" t="s">
        <v>134</v>
      </c>
      <c r="B14" s="426">
        <f>J100</f>
        <v>33.976911796493859</v>
      </c>
    </row>
    <row r="15" spans="1:2" x14ac:dyDescent="0.25">
      <c r="A15" s="427"/>
      <c r="B15" s="428"/>
    </row>
    <row r="16" spans="1:2" ht="15.6" x14ac:dyDescent="0.25">
      <c r="A16" s="424" t="s">
        <v>23</v>
      </c>
      <c r="B16" s="425">
        <f>L100</f>
        <v>27.787469647376337</v>
      </c>
    </row>
    <row r="17" spans="1:35" ht="15.6" x14ac:dyDescent="0.25">
      <c r="A17" s="424"/>
      <c r="B17" s="425"/>
    </row>
    <row r="18" spans="1:35" ht="15.6" x14ac:dyDescent="0.25">
      <c r="A18" s="424" t="s">
        <v>22</v>
      </c>
      <c r="B18" s="425">
        <f>N100</f>
        <v>5.8567808479233694</v>
      </c>
    </row>
    <row r="19" spans="1:35" ht="15.6" x14ac:dyDescent="0.25">
      <c r="A19" s="424"/>
      <c r="B19" s="425"/>
    </row>
    <row r="20" spans="1:35" ht="15.6" x14ac:dyDescent="0.25">
      <c r="A20" s="424" t="s">
        <v>135</v>
      </c>
      <c r="B20" s="426">
        <f>B100</f>
        <v>28.535710674741622</v>
      </c>
    </row>
    <row r="21" spans="1:35" x14ac:dyDescent="0.25">
      <c r="A21" s="427"/>
      <c r="B21" s="428"/>
    </row>
    <row r="22" spans="1:35" ht="16.2" thickBot="1" x14ac:dyDescent="0.35">
      <c r="A22" s="429" t="s">
        <v>0</v>
      </c>
      <c r="B22" s="430">
        <f>+B18+B16+B14+B12+B10+B8+B20</f>
        <v>220.62978100545791</v>
      </c>
      <c r="C22" s="415" t="s">
        <v>7</v>
      </c>
      <c r="D22" s="431" t="s">
        <v>7</v>
      </c>
      <c r="P22" s="432"/>
      <c r="W22" s="433" t="s">
        <v>285</v>
      </c>
    </row>
    <row r="23" spans="1:35" ht="15.6" thickBot="1" x14ac:dyDescent="0.3"/>
    <row r="24" spans="1:35" ht="32.4" thickTop="1" thickBot="1" x14ac:dyDescent="0.3">
      <c r="A24" s="434" t="s">
        <v>286</v>
      </c>
      <c r="B24" s="435" t="s">
        <v>287</v>
      </c>
      <c r="C24" s="436" t="s">
        <v>288</v>
      </c>
      <c r="D24" s="435" t="s">
        <v>289</v>
      </c>
      <c r="E24" s="436" t="s">
        <v>288</v>
      </c>
      <c r="F24" s="435" t="s">
        <v>290</v>
      </c>
      <c r="G24" s="436" t="s">
        <v>288</v>
      </c>
      <c r="H24" s="435" t="s">
        <v>291</v>
      </c>
      <c r="I24" s="436" t="s">
        <v>288</v>
      </c>
      <c r="J24" s="435" t="s">
        <v>292</v>
      </c>
      <c r="K24" s="436" t="s">
        <v>288</v>
      </c>
      <c r="L24" s="435" t="s">
        <v>293</v>
      </c>
      <c r="M24" s="436" t="s">
        <v>288</v>
      </c>
      <c r="N24" s="435" t="s">
        <v>294</v>
      </c>
      <c r="O24" s="436" t="s">
        <v>288</v>
      </c>
      <c r="P24" s="435" t="s">
        <v>295</v>
      </c>
      <c r="Q24" s="435" t="s">
        <v>296</v>
      </c>
      <c r="R24" s="435" t="s">
        <v>297</v>
      </c>
      <c r="S24" s="435" t="s">
        <v>298</v>
      </c>
      <c r="T24" s="435" t="s">
        <v>299</v>
      </c>
      <c r="U24" s="435" t="s">
        <v>0</v>
      </c>
      <c r="V24" s="437"/>
      <c r="W24" s="435" t="s">
        <v>287</v>
      </c>
      <c r="X24" s="435" t="s">
        <v>289</v>
      </c>
      <c r="Y24" s="435" t="s">
        <v>290</v>
      </c>
      <c r="Z24" s="435" t="s">
        <v>291</v>
      </c>
      <c r="AA24" s="435" t="s">
        <v>292</v>
      </c>
      <c r="AB24" s="435" t="s">
        <v>293</v>
      </c>
      <c r="AC24" s="435" t="s">
        <v>294</v>
      </c>
      <c r="AD24" s="435" t="s">
        <v>300</v>
      </c>
      <c r="AE24" s="435" t="s">
        <v>301</v>
      </c>
      <c r="AF24" s="435" t="s">
        <v>302</v>
      </c>
      <c r="AG24" s="435" t="s">
        <v>303</v>
      </c>
      <c r="AH24" s="435" t="s">
        <v>146</v>
      </c>
      <c r="AI24" s="435" t="s">
        <v>180</v>
      </c>
    </row>
    <row r="25" spans="1:35" x14ac:dyDescent="0.25">
      <c r="A25" s="438"/>
      <c r="B25" s="439" t="s">
        <v>15</v>
      </c>
      <c r="C25" s="440" t="s">
        <v>15</v>
      </c>
      <c r="D25" s="439" t="s">
        <v>15</v>
      </c>
      <c r="E25" s="440"/>
      <c r="F25" s="439" t="s">
        <v>15</v>
      </c>
      <c r="G25" s="440"/>
      <c r="H25" s="439" t="s">
        <v>15</v>
      </c>
      <c r="I25" s="440"/>
      <c r="J25" s="439" t="s">
        <v>15</v>
      </c>
      <c r="K25" s="440"/>
      <c r="L25" s="439" t="s">
        <v>15</v>
      </c>
      <c r="M25" s="440"/>
      <c r="N25" s="439" t="s">
        <v>15</v>
      </c>
      <c r="O25" s="440"/>
      <c r="P25" s="439" t="s">
        <v>15</v>
      </c>
      <c r="Q25" s="439" t="s">
        <v>15</v>
      </c>
      <c r="R25" s="439" t="s">
        <v>15</v>
      </c>
      <c r="S25" s="439" t="s">
        <v>15</v>
      </c>
      <c r="T25" s="439" t="s">
        <v>15</v>
      </c>
      <c r="U25" s="439" t="s">
        <v>15</v>
      </c>
      <c r="V25" s="437"/>
      <c r="W25" s="439" t="s">
        <v>15</v>
      </c>
      <c r="X25" s="439" t="s">
        <v>15</v>
      </c>
      <c r="Y25" s="439" t="s">
        <v>15</v>
      </c>
      <c r="Z25" s="439" t="s">
        <v>15</v>
      </c>
      <c r="AA25" s="439" t="s">
        <v>15</v>
      </c>
      <c r="AB25" s="439" t="s">
        <v>15</v>
      </c>
      <c r="AC25" s="439" t="s">
        <v>15</v>
      </c>
      <c r="AD25" s="439" t="s">
        <v>15</v>
      </c>
      <c r="AE25" s="439" t="s">
        <v>15</v>
      </c>
      <c r="AF25" s="439" t="s">
        <v>15</v>
      </c>
      <c r="AG25" s="439" t="s">
        <v>15</v>
      </c>
      <c r="AH25" s="439" t="s">
        <v>15</v>
      </c>
      <c r="AI25" s="439" t="s">
        <v>15</v>
      </c>
    </row>
    <row r="26" spans="1:35" ht="16.2" thickBot="1" x14ac:dyDescent="0.3">
      <c r="A26" s="441" t="s">
        <v>7</v>
      </c>
      <c r="B26" s="442"/>
      <c r="C26" s="443"/>
      <c r="D26" s="442"/>
      <c r="E26" s="443"/>
      <c r="F26" s="442"/>
      <c r="G26" s="443"/>
      <c r="H26" s="442"/>
      <c r="I26" s="443"/>
      <c r="J26" s="442"/>
      <c r="K26" s="443"/>
      <c r="L26" s="442"/>
      <c r="M26" s="443"/>
      <c r="N26" s="442"/>
      <c r="O26" s="443"/>
      <c r="P26" s="442"/>
      <c r="Q26" s="442"/>
      <c r="R26" s="442"/>
      <c r="S26" s="442"/>
      <c r="T26" s="442"/>
      <c r="U26" s="442"/>
      <c r="V26" s="437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</row>
    <row r="27" spans="1:35" ht="15.6" x14ac:dyDescent="0.3">
      <c r="A27" s="444" t="s">
        <v>304</v>
      </c>
      <c r="B27" s="445"/>
      <c r="C27" s="446"/>
      <c r="D27" s="445"/>
      <c r="E27" s="446"/>
      <c r="F27" s="445"/>
      <c r="G27" s="446"/>
      <c r="H27" s="445"/>
      <c r="I27" s="446"/>
      <c r="J27" s="445"/>
      <c r="K27" s="446"/>
      <c r="L27" s="445"/>
      <c r="M27" s="446"/>
      <c r="N27" s="445"/>
      <c r="O27" s="446"/>
      <c r="P27" s="445"/>
      <c r="Q27" s="445"/>
      <c r="R27" s="445"/>
      <c r="S27" s="445"/>
      <c r="T27" s="445"/>
      <c r="U27" s="447"/>
      <c r="V27" s="448"/>
      <c r="W27" s="449"/>
      <c r="X27" s="449"/>
      <c r="Y27" s="449"/>
      <c r="Z27" s="449"/>
      <c r="AA27" s="449"/>
      <c r="AB27" s="449"/>
      <c r="AC27" s="449"/>
      <c r="AD27" s="450"/>
      <c r="AE27" s="450"/>
      <c r="AF27" s="450"/>
      <c r="AG27" s="450"/>
      <c r="AH27" s="450"/>
      <c r="AI27" s="450"/>
    </row>
    <row r="28" spans="1:35" ht="15.6" x14ac:dyDescent="0.3">
      <c r="A28" s="451" t="s">
        <v>305</v>
      </c>
      <c r="B28" s="452"/>
      <c r="C28" s="453"/>
      <c r="D28" s="452"/>
      <c r="E28" s="453"/>
      <c r="F28" s="452"/>
      <c r="G28" s="453"/>
      <c r="H28" s="452"/>
      <c r="I28" s="453"/>
      <c r="J28" s="452"/>
      <c r="K28" s="453"/>
      <c r="L28" s="452"/>
      <c r="M28" s="453"/>
      <c r="N28" s="452"/>
      <c r="O28" s="453"/>
      <c r="P28" s="452"/>
      <c r="Q28" s="452"/>
      <c r="R28" s="452"/>
      <c r="S28" s="452"/>
      <c r="T28" s="452"/>
      <c r="U28" s="454"/>
      <c r="V28" s="448"/>
      <c r="W28" s="449"/>
      <c r="X28" s="449"/>
      <c r="Y28" s="449"/>
      <c r="Z28" s="449"/>
      <c r="AA28" s="449"/>
      <c r="AB28" s="449"/>
      <c r="AC28" s="449"/>
      <c r="AD28" s="450"/>
      <c r="AE28" s="450"/>
      <c r="AF28" s="450"/>
      <c r="AG28" s="450"/>
      <c r="AH28" s="450"/>
      <c r="AI28" s="450"/>
    </row>
    <row r="29" spans="1:35" ht="15.6" x14ac:dyDescent="0.3">
      <c r="A29" s="455" t="s">
        <v>306</v>
      </c>
      <c r="B29" s="456">
        <f>18.792-5.524</f>
        <v>13.268000000000001</v>
      </c>
      <c r="C29" s="453">
        <v>5.5239083999999998</v>
      </c>
      <c r="D29" s="456">
        <f>0.054-0.02</f>
        <v>3.4000000000000002E-2</v>
      </c>
      <c r="E29" s="453">
        <v>1.9539127863856531E-2</v>
      </c>
      <c r="F29" s="452">
        <v>0</v>
      </c>
      <c r="G29" s="453">
        <v>0</v>
      </c>
      <c r="H29" s="456">
        <f>0.585-0.504</f>
        <v>8.0999999999999961E-2</v>
      </c>
      <c r="I29" s="453">
        <v>0.50367205885706157</v>
      </c>
      <c r="J29" s="456">
        <f>0.206-0.166</f>
        <v>3.999999999999998E-2</v>
      </c>
      <c r="K29" s="453">
        <v>0.16630296611699324</v>
      </c>
      <c r="L29" s="456">
        <f>0.837-0.01</f>
        <v>0.82699999999999996</v>
      </c>
      <c r="M29" s="453">
        <v>1.0174702468501939E-2</v>
      </c>
      <c r="N29" s="456">
        <f>0.269-0.006</f>
        <v>0.26300000000000001</v>
      </c>
      <c r="O29" s="453">
        <v>6.0662489791641905E-3</v>
      </c>
      <c r="P29" s="452">
        <v>0.24199999999999999</v>
      </c>
      <c r="Q29" s="452">
        <v>8.7999999999999995E-2</v>
      </c>
      <c r="R29" s="452">
        <v>2E-3</v>
      </c>
      <c r="S29" s="452">
        <v>9.0999999999999998E-2</v>
      </c>
      <c r="T29" s="452">
        <v>0.16800000000000001</v>
      </c>
      <c r="U29" s="457">
        <f t="shared" ref="U29:U40" si="0">B29+D29+F29+H29+J29+L29+N29+P29+Q29+R29+S29+T29</f>
        <v>15.103999999999997</v>
      </c>
      <c r="V29" s="458"/>
      <c r="W29" s="459">
        <f>U29</f>
        <v>15.103999999999997</v>
      </c>
      <c r="X29" s="459"/>
      <c r="Y29" s="459"/>
      <c r="Z29" s="459"/>
      <c r="AA29" s="459"/>
      <c r="AB29" s="459"/>
      <c r="AC29" s="459"/>
      <c r="AD29" s="450"/>
      <c r="AE29" s="450"/>
      <c r="AF29" s="450"/>
      <c r="AG29" s="450"/>
      <c r="AH29" s="450"/>
      <c r="AI29" s="450"/>
    </row>
    <row r="30" spans="1:35" ht="15.6" x14ac:dyDescent="0.3">
      <c r="A30" s="455" t="s">
        <v>289</v>
      </c>
      <c r="B30" s="452">
        <v>0</v>
      </c>
      <c r="C30" s="453">
        <v>0</v>
      </c>
      <c r="D30" s="452">
        <v>18.087022297480704</v>
      </c>
      <c r="E30" s="453"/>
      <c r="F30" s="452">
        <v>0</v>
      </c>
      <c r="G30" s="453"/>
      <c r="H30" s="452">
        <v>0</v>
      </c>
      <c r="I30" s="453"/>
      <c r="J30" s="452">
        <v>0</v>
      </c>
      <c r="K30" s="453"/>
      <c r="L30" s="452">
        <v>0</v>
      </c>
      <c r="M30" s="453"/>
      <c r="N30" s="452">
        <v>0</v>
      </c>
      <c r="O30" s="453"/>
      <c r="P30" s="452">
        <v>0</v>
      </c>
      <c r="Q30" s="452">
        <v>0</v>
      </c>
      <c r="R30" s="452">
        <v>2.1000000000000001E-2</v>
      </c>
      <c r="S30" s="452">
        <v>0</v>
      </c>
      <c r="T30" s="452">
        <v>0</v>
      </c>
      <c r="U30" s="457">
        <f t="shared" si="0"/>
        <v>18.108022297480705</v>
      </c>
      <c r="V30" s="458"/>
      <c r="W30" s="459"/>
      <c r="X30" s="459">
        <f>U30</f>
        <v>18.108022297480705</v>
      </c>
      <c r="Y30" s="459"/>
      <c r="Z30" s="459"/>
      <c r="AA30" s="459"/>
      <c r="AB30" s="459"/>
      <c r="AC30" s="459"/>
      <c r="AD30" s="450"/>
      <c r="AE30" s="450"/>
      <c r="AF30" s="450"/>
      <c r="AG30" s="450"/>
      <c r="AH30" s="450"/>
      <c r="AI30" s="450"/>
    </row>
    <row r="31" spans="1:35" ht="15.6" x14ac:dyDescent="0.3">
      <c r="A31" s="455" t="s">
        <v>290</v>
      </c>
      <c r="B31" s="452">
        <v>0</v>
      </c>
      <c r="C31" s="453">
        <v>0</v>
      </c>
      <c r="D31" s="452">
        <v>0</v>
      </c>
      <c r="E31" s="453"/>
      <c r="F31" s="452">
        <v>26.986999999999998</v>
      </c>
      <c r="G31" s="453"/>
      <c r="H31" s="452">
        <v>0</v>
      </c>
      <c r="I31" s="453"/>
      <c r="J31" s="452">
        <v>0</v>
      </c>
      <c r="K31" s="453"/>
      <c r="L31" s="452">
        <v>0</v>
      </c>
      <c r="M31" s="453"/>
      <c r="N31" s="452">
        <v>0</v>
      </c>
      <c r="O31" s="453"/>
      <c r="P31" s="452">
        <v>0.23499999999999999</v>
      </c>
      <c r="Q31" s="452">
        <v>0.34899999999999998</v>
      </c>
      <c r="R31" s="452">
        <v>0</v>
      </c>
      <c r="S31" s="452">
        <v>1.0999999999999999E-2</v>
      </c>
      <c r="T31" s="452">
        <v>0</v>
      </c>
      <c r="U31" s="457">
        <f t="shared" si="0"/>
        <v>27.581999999999997</v>
      </c>
      <c r="V31" s="458"/>
      <c r="W31" s="459"/>
      <c r="X31" s="459"/>
      <c r="Y31" s="459">
        <f>U31</f>
        <v>27.581999999999997</v>
      </c>
      <c r="Z31" s="459"/>
      <c r="AA31" s="459"/>
      <c r="AB31" s="459"/>
      <c r="AC31" s="459"/>
      <c r="AD31" s="450"/>
      <c r="AE31" s="450"/>
      <c r="AF31" s="450"/>
      <c r="AG31" s="450"/>
      <c r="AH31" s="450"/>
      <c r="AI31" s="450"/>
    </row>
    <row r="32" spans="1:35" ht="15.6" x14ac:dyDescent="0.3">
      <c r="A32" s="455" t="s">
        <v>291</v>
      </c>
      <c r="B32" s="456">
        <f>0.11-0.032</f>
        <v>7.8E-2</v>
      </c>
      <c r="C32" s="453">
        <v>3.2334500000000002E-2</v>
      </c>
      <c r="D32" s="452">
        <v>0.48299999999999998</v>
      </c>
      <c r="E32" s="453"/>
      <c r="F32" s="452">
        <v>8.9999999999999993E-3</v>
      </c>
      <c r="G32" s="453"/>
      <c r="H32" s="452">
        <v>10.517999999999999</v>
      </c>
      <c r="I32" s="453"/>
      <c r="J32" s="456">
        <f>0.256+0.032</f>
        <v>0.28800000000000003</v>
      </c>
      <c r="K32" s="453"/>
      <c r="L32" s="452">
        <v>7.0000000000000007E-2</v>
      </c>
      <c r="M32" s="453"/>
      <c r="N32" s="452">
        <v>1.4999999999999999E-2</v>
      </c>
      <c r="O32" s="453"/>
      <c r="P32" s="452">
        <v>2.698</v>
      </c>
      <c r="Q32" s="452">
        <v>4.4999999999999998E-2</v>
      </c>
      <c r="R32" s="452">
        <v>0.83899999999999997</v>
      </c>
      <c r="S32" s="452">
        <v>5.6000000000000001E-2</v>
      </c>
      <c r="T32" s="452">
        <v>1.4750000000000001</v>
      </c>
      <c r="U32" s="457">
        <f t="shared" si="0"/>
        <v>16.574000000000002</v>
      </c>
      <c r="V32" s="458"/>
      <c r="W32" s="459"/>
      <c r="X32" s="459"/>
      <c r="Y32" s="459"/>
      <c r="Z32" s="459">
        <f>U32</f>
        <v>16.574000000000002</v>
      </c>
      <c r="AA32" s="459"/>
      <c r="AB32" s="459"/>
      <c r="AC32" s="459"/>
      <c r="AD32" s="450"/>
      <c r="AE32" s="450"/>
      <c r="AF32" s="450"/>
      <c r="AG32" s="450"/>
      <c r="AH32" s="450"/>
      <c r="AI32" s="450"/>
    </row>
    <row r="33" spans="1:35" ht="15.6" x14ac:dyDescent="0.3">
      <c r="A33" s="455" t="s">
        <v>292</v>
      </c>
      <c r="B33" s="456">
        <f>0.16-0.047</f>
        <v>0.113</v>
      </c>
      <c r="C33" s="453">
        <v>4.7031999999999997E-2</v>
      </c>
      <c r="D33" s="456">
        <v>0.02</v>
      </c>
      <c r="E33" s="453"/>
      <c r="F33" s="452">
        <v>0</v>
      </c>
      <c r="G33" s="453"/>
      <c r="H33" s="456">
        <f>0.171+0.504</f>
        <v>0.67500000000000004</v>
      </c>
      <c r="I33" s="453"/>
      <c r="J33" s="456">
        <f>12.044+5.524+0.166+0.047</f>
        <v>17.781000000000002</v>
      </c>
      <c r="K33" s="453"/>
      <c r="L33" s="456">
        <v>0.01</v>
      </c>
      <c r="M33" s="453"/>
      <c r="N33" s="456">
        <v>6.0000000000000001E-3</v>
      </c>
      <c r="O33" s="453"/>
      <c r="P33" s="452">
        <v>0</v>
      </c>
      <c r="Q33" s="452">
        <v>1.2E-2</v>
      </c>
      <c r="R33" s="452">
        <v>0</v>
      </c>
      <c r="S33" s="452">
        <v>0</v>
      </c>
      <c r="T33" s="452">
        <v>0</v>
      </c>
      <c r="U33" s="457">
        <f t="shared" si="0"/>
        <v>18.617000000000004</v>
      </c>
      <c r="V33" s="458"/>
      <c r="W33" s="459"/>
      <c r="X33" s="459"/>
      <c r="Y33" s="459"/>
      <c r="Z33" s="459"/>
      <c r="AA33" s="459">
        <f>U33</f>
        <v>18.617000000000004</v>
      </c>
      <c r="AB33" s="459"/>
      <c r="AC33" s="459"/>
      <c r="AD33" s="450"/>
      <c r="AE33" s="450"/>
      <c r="AF33" s="450"/>
      <c r="AG33" s="450"/>
      <c r="AH33" s="450"/>
      <c r="AI33" s="450"/>
    </row>
    <row r="34" spans="1:35" ht="15.6" x14ac:dyDescent="0.3">
      <c r="A34" s="455" t="s">
        <v>293</v>
      </c>
      <c r="B34" s="452">
        <v>0</v>
      </c>
      <c r="C34" s="453">
        <v>0</v>
      </c>
      <c r="D34" s="452">
        <v>0</v>
      </c>
      <c r="E34" s="453"/>
      <c r="F34" s="452">
        <v>0</v>
      </c>
      <c r="G34" s="453"/>
      <c r="H34" s="452">
        <v>0</v>
      </c>
      <c r="I34" s="453"/>
      <c r="J34" s="452">
        <v>0</v>
      </c>
      <c r="K34" s="453"/>
      <c r="L34" s="452">
        <v>12.846</v>
      </c>
      <c r="M34" s="453"/>
      <c r="N34" s="452">
        <v>0</v>
      </c>
      <c r="O34" s="453"/>
      <c r="P34" s="452">
        <v>2E-3</v>
      </c>
      <c r="Q34" s="452">
        <v>0.02</v>
      </c>
      <c r="R34" s="452">
        <v>3.0000000000000001E-3</v>
      </c>
      <c r="S34" s="452">
        <v>1.4E-2</v>
      </c>
      <c r="T34" s="452">
        <v>0</v>
      </c>
      <c r="U34" s="457">
        <f t="shared" si="0"/>
        <v>12.885</v>
      </c>
      <c r="V34" s="458"/>
      <c r="W34" s="459"/>
      <c r="X34" s="459"/>
      <c r="Y34" s="459"/>
      <c r="Z34" s="459"/>
      <c r="AA34" s="459"/>
      <c r="AB34" s="459">
        <f>U34</f>
        <v>12.885</v>
      </c>
      <c r="AC34" s="459"/>
      <c r="AD34" s="450"/>
      <c r="AE34" s="450"/>
      <c r="AF34" s="450"/>
      <c r="AG34" s="450"/>
      <c r="AH34" s="450"/>
      <c r="AI34" s="450"/>
    </row>
    <row r="35" spans="1:35" ht="15.6" x14ac:dyDescent="0.3">
      <c r="A35" s="455" t="s">
        <v>294</v>
      </c>
      <c r="B35" s="452">
        <v>0</v>
      </c>
      <c r="C35" s="453">
        <v>0</v>
      </c>
      <c r="D35" s="452">
        <v>0</v>
      </c>
      <c r="E35" s="453"/>
      <c r="F35" s="452">
        <v>0</v>
      </c>
      <c r="G35" s="453"/>
      <c r="H35" s="452">
        <v>0</v>
      </c>
      <c r="I35" s="453"/>
      <c r="J35" s="452">
        <v>0</v>
      </c>
      <c r="K35" s="453"/>
      <c r="L35" s="452">
        <v>0</v>
      </c>
      <c r="M35" s="453"/>
      <c r="N35" s="452">
        <v>3.1739999999999999</v>
      </c>
      <c r="O35" s="453"/>
      <c r="P35" s="452">
        <v>0</v>
      </c>
      <c r="Q35" s="452">
        <v>0</v>
      </c>
      <c r="R35" s="452">
        <v>0</v>
      </c>
      <c r="S35" s="452">
        <v>0</v>
      </c>
      <c r="T35" s="452">
        <v>0</v>
      </c>
      <c r="U35" s="457">
        <f t="shared" si="0"/>
        <v>3.1739999999999999</v>
      </c>
      <c r="V35" s="458"/>
      <c r="W35" s="459"/>
      <c r="X35" s="459"/>
      <c r="Y35" s="459"/>
      <c r="Z35" s="459"/>
      <c r="AA35" s="459"/>
      <c r="AB35" s="459"/>
      <c r="AC35" s="459">
        <f>U35</f>
        <v>3.1739999999999999</v>
      </c>
      <c r="AD35" s="450"/>
      <c r="AE35" s="450"/>
      <c r="AF35" s="450"/>
      <c r="AG35" s="450"/>
      <c r="AH35" s="450"/>
      <c r="AI35" s="450"/>
    </row>
    <row r="36" spans="1:35" ht="15.6" x14ac:dyDescent="0.3">
      <c r="A36" s="455" t="s">
        <v>300</v>
      </c>
      <c r="B36" s="456">
        <f>0.123-0.036</f>
        <v>8.6999999999999994E-2</v>
      </c>
      <c r="C36" s="453">
        <v>3.6155849999999996E-2</v>
      </c>
      <c r="D36" s="452">
        <v>0.48870000000000002</v>
      </c>
      <c r="E36" s="453"/>
      <c r="F36" s="452">
        <v>0</v>
      </c>
      <c r="G36" s="453"/>
      <c r="H36" s="452">
        <v>0.35699999999999998</v>
      </c>
      <c r="I36" s="453"/>
      <c r="J36" s="456">
        <f>0.231+0.036</f>
        <v>0.26700000000000002</v>
      </c>
      <c r="K36" s="453"/>
      <c r="L36" s="460">
        <f>0.0189</f>
        <v>1.89E-2</v>
      </c>
      <c r="M36" s="453"/>
      <c r="N36" s="452">
        <v>2.5700000000000001E-2</v>
      </c>
      <c r="O36" s="453"/>
      <c r="P36" s="461">
        <v>0.02</v>
      </c>
      <c r="Q36" s="461">
        <v>0.06</v>
      </c>
      <c r="R36" s="461">
        <v>3.9E-2</v>
      </c>
      <c r="S36" s="452">
        <v>0</v>
      </c>
      <c r="T36" s="452">
        <v>0.59899999999999998</v>
      </c>
      <c r="U36" s="457">
        <f t="shared" si="0"/>
        <v>1.9622999999999999</v>
      </c>
      <c r="V36" s="458"/>
      <c r="W36" s="459"/>
      <c r="X36" s="459"/>
      <c r="Y36" s="459"/>
      <c r="Z36" s="459"/>
      <c r="AA36" s="459"/>
      <c r="AB36" s="459"/>
      <c r="AC36" s="459"/>
      <c r="AD36" s="462">
        <f>U36</f>
        <v>1.9622999999999999</v>
      </c>
      <c r="AE36" s="450"/>
      <c r="AF36" s="450"/>
      <c r="AG36" s="450"/>
      <c r="AH36" s="450"/>
      <c r="AI36" s="450"/>
    </row>
    <row r="37" spans="1:35" ht="15.6" x14ac:dyDescent="0.3">
      <c r="A37" s="455" t="s">
        <v>36</v>
      </c>
      <c r="B37" s="452">
        <v>0</v>
      </c>
      <c r="C37" s="453">
        <v>0</v>
      </c>
      <c r="D37" s="452">
        <v>0</v>
      </c>
      <c r="E37" s="453"/>
      <c r="F37" s="452">
        <v>0</v>
      </c>
      <c r="G37" s="453"/>
      <c r="H37" s="452">
        <v>0</v>
      </c>
      <c r="I37" s="453"/>
      <c r="J37" s="452">
        <v>0</v>
      </c>
      <c r="K37" s="453"/>
      <c r="L37" s="452">
        <v>0</v>
      </c>
      <c r="M37" s="453"/>
      <c r="N37" s="452">
        <v>0</v>
      </c>
      <c r="O37" s="453"/>
      <c r="P37" s="452">
        <v>0</v>
      </c>
      <c r="Q37" s="452">
        <v>0</v>
      </c>
      <c r="R37" s="452">
        <v>0</v>
      </c>
      <c r="S37" s="452">
        <v>0</v>
      </c>
      <c r="T37" s="452">
        <v>5.9029999999999996</v>
      </c>
      <c r="U37" s="457">
        <f t="shared" si="0"/>
        <v>5.9029999999999996</v>
      </c>
      <c r="V37" s="458"/>
      <c r="W37" s="459"/>
      <c r="X37" s="459"/>
      <c r="Y37" s="459"/>
      <c r="Z37" s="459"/>
      <c r="AA37" s="459"/>
      <c r="AB37" s="459"/>
      <c r="AC37" s="459"/>
      <c r="AD37" s="450"/>
      <c r="AE37" s="462"/>
      <c r="AF37" s="450"/>
      <c r="AG37" s="450"/>
      <c r="AH37" s="450"/>
      <c r="AI37" s="462">
        <f>U37</f>
        <v>5.9029999999999996</v>
      </c>
    </row>
    <row r="38" spans="1:35" ht="15.6" x14ac:dyDescent="0.3">
      <c r="A38" s="455" t="s">
        <v>302</v>
      </c>
      <c r="B38" s="452">
        <v>0</v>
      </c>
      <c r="C38" s="453">
        <v>0</v>
      </c>
      <c r="D38" s="452">
        <v>0</v>
      </c>
      <c r="E38" s="453"/>
      <c r="F38" s="452">
        <v>0</v>
      </c>
      <c r="G38" s="453"/>
      <c r="H38" s="452">
        <v>0</v>
      </c>
      <c r="I38" s="453"/>
      <c r="J38" s="452">
        <v>0</v>
      </c>
      <c r="K38" s="453"/>
      <c r="L38" s="452">
        <v>0</v>
      </c>
      <c r="M38" s="453"/>
      <c r="N38" s="452">
        <v>0</v>
      </c>
      <c r="O38" s="453"/>
      <c r="P38" s="452">
        <v>0</v>
      </c>
      <c r="Q38" s="452">
        <v>0</v>
      </c>
      <c r="R38" s="452">
        <v>0</v>
      </c>
      <c r="S38" s="452">
        <v>0</v>
      </c>
      <c r="T38" s="452">
        <v>0</v>
      </c>
      <c r="U38" s="457">
        <f t="shared" si="0"/>
        <v>0</v>
      </c>
      <c r="V38" s="458"/>
      <c r="W38" s="459"/>
      <c r="X38" s="459"/>
      <c r="Y38" s="459"/>
      <c r="Z38" s="459"/>
      <c r="AA38" s="459"/>
      <c r="AB38" s="459"/>
      <c r="AC38" s="459"/>
      <c r="AD38" s="450"/>
      <c r="AE38" s="450"/>
      <c r="AF38" s="462">
        <f>U38</f>
        <v>0</v>
      </c>
      <c r="AG38" s="450"/>
      <c r="AH38" s="450"/>
      <c r="AI38" s="450"/>
    </row>
    <row r="39" spans="1:35" ht="15.6" x14ac:dyDescent="0.3">
      <c r="A39" s="455" t="s">
        <v>303</v>
      </c>
      <c r="B39" s="452">
        <v>0</v>
      </c>
      <c r="C39" s="453">
        <v>0</v>
      </c>
      <c r="D39" s="452">
        <v>0</v>
      </c>
      <c r="E39" s="453"/>
      <c r="F39" s="452">
        <v>0</v>
      </c>
      <c r="G39" s="453"/>
      <c r="H39" s="452">
        <v>0</v>
      </c>
      <c r="I39" s="453"/>
      <c r="J39" s="452">
        <v>0</v>
      </c>
      <c r="K39" s="453"/>
      <c r="L39" s="452">
        <v>0</v>
      </c>
      <c r="M39" s="453"/>
      <c r="N39" s="452">
        <v>0</v>
      </c>
      <c r="O39" s="453"/>
      <c r="P39" s="452">
        <v>0</v>
      </c>
      <c r="Q39" s="452">
        <v>0</v>
      </c>
      <c r="R39" s="452">
        <v>0</v>
      </c>
      <c r="S39" s="452">
        <v>0</v>
      </c>
      <c r="T39" s="452">
        <v>1.1160000000000001</v>
      </c>
      <c r="U39" s="457">
        <f t="shared" si="0"/>
        <v>1.1160000000000001</v>
      </c>
      <c r="V39" s="458"/>
      <c r="W39" s="459"/>
      <c r="X39" s="459"/>
      <c r="Y39" s="459"/>
      <c r="Z39" s="459"/>
      <c r="AA39" s="459"/>
      <c r="AB39" s="459"/>
      <c r="AC39" s="459"/>
      <c r="AD39" s="450"/>
      <c r="AE39" s="450"/>
      <c r="AF39" s="450"/>
      <c r="AG39" s="462">
        <f>U39</f>
        <v>1.1160000000000001</v>
      </c>
      <c r="AH39" s="450"/>
      <c r="AI39" s="450"/>
    </row>
    <row r="40" spans="1:35" ht="15.6" x14ac:dyDescent="0.3">
      <c r="A40" s="463" t="s">
        <v>307</v>
      </c>
      <c r="B40" s="464">
        <f>SUM(B29:B39)</f>
        <v>13.545999999999999</v>
      </c>
      <c r="C40" s="465">
        <v>5.6394307499999998</v>
      </c>
      <c r="D40" s="464">
        <f>SUM(D29:D39)</f>
        <v>19.112722297480705</v>
      </c>
      <c r="E40" s="465">
        <v>1.9539127863856531E-2</v>
      </c>
      <c r="F40" s="464">
        <f>SUM(F29:F39)</f>
        <v>26.995999999999999</v>
      </c>
      <c r="G40" s="465">
        <v>0</v>
      </c>
      <c r="H40" s="464">
        <f>SUM(H29:H39)</f>
        <v>11.630999999999998</v>
      </c>
      <c r="I40" s="465">
        <v>0.50367205885706157</v>
      </c>
      <c r="J40" s="464">
        <f>SUM(J29:J39)</f>
        <v>18.376000000000001</v>
      </c>
      <c r="K40" s="465">
        <v>0.16630296611699324</v>
      </c>
      <c r="L40" s="464">
        <f>SUM(L29:L39)</f>
        <v>13.7719</v>
      </c>
      <c r="M40" s="465">
        <v>1.0174702468501939E-2</v>
      </c>
      <c r="N40" s="464">
        <f>SUM(N29:N39)</f>
        <v>3.4837000000000002</v>
      </c>
      <c r="O40" s="465">
        <v>6.0662489791641905E-3</v>
      </c>
      <c r="P40" s="464">
        <f>SUM(P29:P39)</f>
        <v>3.1969999999999996</v>
      </c>
      <c r="Q40" s="464">
        <f>SUM(Q29:Q39)</f>
        <v>0.57399999999999984</v>
      </c>
      <c r="R40" s="464">
        <f>SUM(R29:R39)</f>
        <v>0.90400000000000003</v>
      </c>
      <c r="S40" s="464">
        <f>SUM(S29:S39)</f>
        <v>0.17200000000000001</v>
      </c>
      <c r="T40" s="464">
        <f>SUM(T29:T39)</f>
        <v>9.2609999999999992</v>
      </c>
      <c r="U40" s="457">
        <f t="shared" si="0"/>
        <v>121.0253222974807</v>
      </c>
      <c r="V40" s="458"/>
      <c r="W40" s="459"/>
      <c r="X40" s="459"/>
      <c r="Y40" s="459"/>
      <c r="Z40" s="459"/>
      <c r="AA40" s="459"/>
      <c r="AB40" s="459"/>
      <c r="AC40" s="459"/>
      <c r="AD40" s="450"/>
      <c r="AE40" s="450"/>
      <c r="AF40" s="450"/>
      <c r="AG40" s="450"/>
      <c r="AH40" s="450"/>
      <c r="AI40" s="450"/>
    </row>
    <row r="41" spans="1:35" ht="15.6" x14ac:dyDescent="0.3">
      <c r="A41" s="463" t="s">
        <v>308</v>
      </c>
      <c r="B41" s="452"/>
      <c r="C41" s="453"/>
      <c r="D41" s="452"/>
      <c r="E41" s="453"/>
      <c r="F41" s="452"/>
      <c r="G41" s="453"/>
      <c r="H41" s="452"/>
      <c r="I41" s="453"/>
      <c r="J41" s="452"/>
      <c r="K41" s="453"/>
      <c r="L41" s="452"/>
      <c r="M41" s="453"/>
      <c r="N41" s="452"/>
      <c r="O41" s="453"/>
      <c r="P41" s="452"/>
      <c r="Q41" s="452"/>
      <c r="R41" s="452"/>
      <c r="S41" s="452"/>
      <c r="T41" s="452"/>
      <c r="U41" s="454"/>
      <c r="V41" s="448"/>
      <c r="W41" s="449"/>
      <c r="X41" s="449"/>
      <c r="Y41" s="449"/>
      <c r="Z41" s="449"/>
      <c r="AA41" s="449"/>
      <c r="AB41" s="449"/>
      <c r="AC41" s="449"/>
      <c r="AD41" s="450"/>
      <c r="AE41" s="450"/>
      <c r="AF41" s="450"/>
      <c r="AG41" s="450"/>
      <c r="AH41" s="450"/>
      <c r="AI41" s="450"/>
    </row>
    <row r="42" spans="1:35" ht="15.6" x14ac:dyDescent="0.3">
      <c r="A42" s="455" t="s">
        <v>309</v>
      </c>
      <c r="B42" s="456">
        <f>0.042318-0.04</f>
        <v>2.3180000000000006E-3</v>
      </c>
      <c r="C42" s="453">
        <v>3.9758229819412315E-2</v>
      </c>
      <c r="D42" s="452">
        <v>0.168931</v>
      </c>
      <c r="E42" s="453"/>
      <c r="F42" s="452">
        <v>0</v>
      </c>
      <c r="G42" s="453"/>
      <c r="H42" s="452">
        <v>0.118699</v>
      </c>
      <c r="I42" s="453"/>
      <c r="J42" s="452">
        <f>0.080508+0.04</f>
        <v>0.120508</v>
      </c>
      <c r="K42" s="453"/>
      <c r="L42" s="452">
        <v>7.5690000000000002E-3</v>
      </c>
      <c r="M42" s="453"/>
      <c r="N42" s="452">
        <v>7.9129999999999999E-3</v>
      </c>
      <c r="O42" s="453"/>
      <c r="P42" s="452"/>
      <c r="Q42" s="452"/>
      <c r="R42" s="452"/>
      <c r="S42" s="452"/>
      <c r="T42" s="452">
        <v>-0.59899999999999998</v>
      </c>
      <c r="U42" s="457">
        <f>B42+D42+F42+H42+J42+L42+N42+P42+Q42+R42+S42+T42</f>
        <v>-0.17306199999999999</v>
      </c>
      <c r="V42" s="458"/>
      <c r="W42" s="459"/>
      <c r="X42" s="459"/>
      <c r="Y42" s="459"/>
      <c r="Z42" s="459"/>
      <c r="AA42" s="459"/>
      <c r="AB42" s="459"/>
      <c r="AC42" s="459"/>
      <c r="AD42" s="462">
        <f>U42</f>
        <v>-0.17306199999999999</v>
      </c>
      <c r="AE42" s="450"/>
      <c r="AF42" s="450"/>
      <c r="AG42" s="450"/>
      <c r="AH42" s="450"/>
      <c r="AI42" s="450"/>
    </row>
    <row r="43" spans="1:35" ht="30.6" x14ac:dyDescent="0.3">
      <c r="A43" s="466" t="s">
        <v>310</v>
      </c>
      <c r="B43" s="452">
        <v>0</v>
      </c>
      <c r="C43" s="453"/>
      <c r="D43" s="452">
        <v>0</v>
      </c>
      <c r="E43" s="453"/>
      <c r="F43" s="452">
        <v>0</v>
      </c>
      <c r="G43" s="453"/>
      <c r="H43" s="452">
        <v>0</v>
      </c>
      <c r="I43" s="453"/>
      <c r="J43" s="452">
        <v>0</v>
      </c>
      <c r="K43" s="453"/>
      <c r="L43" s="452">
        <v>0</v>
      </c>
      <c r="M43" s="453"/>
      <c r="N43" s="452">
        <v>0</v>
      </c>
      <c r="O43" s="453"/>
      <c r="P43" s="452">
        <v>0</v>
      </c>
      <c r="Q43" s="452">
        <v>0</v>
      </c>
      <c r="R43" s="452">
        <v>0</v>
      </c>
      <c r="S43" s="452">
        <v>0</v>
      </c>
      <c r="T43" s="452">
        <v>-0.10100000000000001</v>
      </c>
      <c r="U43" s="457">
        <f>B43+D43+F43+H43+J43+L43+N43+P43+Q43+R43+S43+T43</f>
        <v>-0.10100000000000001</v>
      </c>
      <c r="V43" s="458"/>
      <c r="W43" s="459"/>
      <c r="X43" s="459"/>
      <c r="Y43" s="459"/>
      <c r="Z43" s="459"/>
      <c r="AA43" s="459"/>
      <c r="AB43" s="459"/>
      <c r="AC43" s="459"/>
      <c r="AD43" s="450"/>
      <c r="AE43" s="450"/>
      <c r="AF43" s="450"/>
      <c r="AG43" s="462">
        <f>U43</f>
        <v>-0.10100000000000001</v>
      </c>
      <c r="AH43" s="450"/>
      <c r="AI43" s="450"/>
    </row>
    <row r="44" spans="1:35" ht="30.6" x14ac:dyDescent="0.3">
      <c r="A44" s="466" t="s">
        <v>311</v>
      </c>
      <c r="B44" s="456">
        <f>0.002-0.002</f>
        <v>0</v>
      </c>
      <c r="C44" s="453">
        <v>-2.4566494407190506E-3</v>
      </c>
      <c r="D44" s="452">
        <v>-1.0389113954514461E-2</v>
      </c>
      <c r="E44" s="453"/>
      <c r="F44" s="452">
        <v>0</v>
      </c>
      <c r="G44" s="453"/>
      <c r="H44" s="452">
        <v>-7.5893465966066342E-3</v>
      </c>
      <c r="I44" s="453"/>
      <c r="J44" s="456">
        <f>-0.00491075368015723-0.002</f>
        <v>-6.9107536801572304E-3</v>
      </c>
      <c r="K44" s="453"/>
      <c r="L44" s="452">
        <v>-4.0178893746741E-4</v>
      </c>
      <c r="M44" s="453"/>
      <c r="N44" s="452">
        <v>-5.4634792025991729E-4</v>
      </c>
      <c r="O44" s="453"/>
      <c r="P44" s="452">
        <v>0</v>
      </c>
      <c r="Q44" s="452">
        <v>0</v>
      </c>
      <c r="R44" s="452">
        <v>0</v>
      </c>
      <c r="S44" s="452">
        <v>0</v>
      </c>
      <c r="T44" s="452">
        <v>0</v>
      </c>
      <c r="U44" s="457">
        <f>B44+D44+F44+H44+J44+L44+N44+P44+Q44+R44+S44+T44</f>
        <v>-2.5837351089005652E-2</v>
      </c>
      <c r="V44" s="458"/>
      <c r="W44" s="459"/>
      <c r="X44" s="459"/>
      <c r="Y44" s="459"/>
      <c r="Z44" s="459"/>
      <c r="AA44" s="459"/>
      <c r="AB44" s="459"/>
      <c r="AC44" s="459"/>
      <c r="AD44" s="462">
        <f>U44</f>
        <v>-2.5837351089005652E-2</v>
      </c>
      <c r="AE44" s="450"/>
      <c r="AF44" s="450"/>
      <c r="AG44" s="450"/>
      <c r="AH44" s="450"/>
      <c r="AI44" s="450"/>
    </row>
    <row r="45" spans="1:35" ht="30.6" x14ac:dyDescent="0.3">
      <c r="A45" s="466" t="s">
        <v>312</v>
      </c>
      <c r="B45" s="456">
        <f>-2.761+0.774</f>
        <v>-1.9870000000000001</v>
      </c>
      <c r="C45" s="453">
        <v>-0.77361044353440855</v>
      </c>
      <c r="D45" s="452">
        <v>-2.1</v>
      </c>
      <c r="E45" s="453"/>
      <c r="F45" s="452">
        <v>-2.4</v>
      </c>
      <c r="G45" s="453"/>
      <c r="H45" s="452">
        <v>-2.8660000000000001</v>
      </c>
      <c r="I45" s="453"/>
      <c r="J45" s="456">
        <f>-0.945-0.774</f>
        <v>-1.7189999999999999</v>
      </c>
      <c r="K45" s="453"/>
      <c r="L45" s="452">
        <v>-1.022</v>
      </c>
      <c r="M45" s="453"/>
      <c r="N45" s="452">
        <v>-0.23400000000000001</v>
      </c>
      <c r="O45" s="453"/>
      <c r="P45" s="452">
        <v>0</v>
      </c>
      <c r="Q45" s="452">
        <v>0</v>
      </c>
      <c r="R45" s="452">
        <v>0</v>
      </c>
      <c r="S45" s="452">
        <v>0</v>
      </c>
      <c r="T45" s="452">
        <v>0</v>
      </c>
      <c r="U45" s="457">
        <f>B45+D45+F45+H45+J45+L45+N45+P45+Q45+R45+S45+T45</f>
        <v>-12.327999999999999</v>
      </c>
      <c r="V45" s="458"/>
      <c r="W45" s="459">
        <f>B45</f>
        <v>-1.9870000000000001</v>
      </c>
      <c r="X45" s="459">
        <f>D45</f>
        <v>-2.1</v>
      </c>
      <c r="Y45" s="459">
        <f>F45</f>
        <v>-2.4</v>
      </c>
      <c r="Z45" s="459">
        <f>H45</f>
        <v>-2.8660000000000001</v>
      </c>
      <c r="AA45" s="459">
        <f>J45</f>
        <v>-1.7189999999999999</v>
      </c>
      <c r="AB45" s="459">
        <f>L45</f>
        <v>-1.022</v>
      </c>
      <c r="AC45" s="459">
        <f>N45</f>
        <v>-0.23400000000000001</v>
      </c>
      <c r="AD45" s="450"/>
      <c r="AE45" s="450"/>
      <c r="AF45" s="450"/>
      <c r="AG45" s="450"/>
      <c r="AH45" s="450"/>
      <c r="AI45" s="450"/>
    </row>
    <row r="46" spans="1:35" ht="29.4" x14ac:dyDescent="0.3">
      <c r="A46" s="467" t="s">
        <v>313</v>
      </c>
      <c r="B46" s="464">
        <f>SUM(B40:B45)</f>
        <v>11.561318</v>
      </c>
      <c r="C46" s="465">
        <f t="shared" ref="C46:T46" si="1">SUM(C40:C45)</f>
        <v>4.9031218868442838</v>
      </c>
      <c r="D46" s="464">
        <f t="shared" si="1"/>
        <v>17.171264183526191</v>
      </c>
      <c r="E46" s="465">
        <f t="shared" si="1"/>
        <v>1.9539127863856531E-2</v>
      </c>
      <c r="F46" s="464">
        <f t="shared" si="1"/>
        <v>24.596</v>
      </c>
      <c r="G46" s="465">
        <f t="shared" si="1"/>
        <v>0</v>
      </c>
      <c r="H46" s="464">
        <f t="shared" si="1"/>
        <v>8.8761096534033914</v>
      </c>
      <c r="I46" s="465">
        <f t="shared" si="1"/>
        <v>0.50367205885706157</v>
      </c>
      <c r="J46" s="464">
        <f t="shared" si="1"/>
        <v>16.770597246319845</v>
      </c>
      <c r="K46" s="465">
        <f t="shared" si="1"/>
        <v>0.16630296611699324</v>
      </c>
      <c r="L46" s="464">
        <f t="shared" si="1"/>
        <v>12.757067211062534</v>
      </c>
      <c r="M46" s="465">
        <f t="shared" si="1"/>
        <v>1.0174702468501939E-2</v>
      </c>
      <c r="N46" s="464">
        <f t="shared" si="1"/>
        <v>3.25706665207974</v>
      </c>
      <c r="O46" s="465">
        <f t="shared" si="1"/>
        <v>6.0662489791641905E-3</v>
      </c>
      <c r="P46" s="464">
        <f t="shared" si="1"/>
        <v>3.1969999999999996</v>
      </c>
      <c r="Q46" s="464">
        <f t="shared" si="1"/>
        <v>0.57399999999999984</v>
      </c>
      <c r="R46" s="464">
        <f t="shared" si="1"/>
        <v>0.90400000000000003</v>
      </c>
      <c r="S46" s="464">
        <f t="shared" si="1"/>
        <v>0.17200000000000001</v>
      </c>
      <c r="T46" s="464">
        <f t="shared" si="1"/>
        <v>8.5609999999999982</v>
      </c>
      <c r="U46" s="457">
        <f>B46+D46+F46+H46+J46+L46+N46+P46+Q46+R46+S46+T46</f>
        <v>108.3974229463917</v>
      </c>
      <c r="V46" s="458"/>
      <c r="W46" s="459"/>
      <c r="X46" s="459"/>
      <c r="Y46" s="459"/>
      <c r="Z46" s="459"/>
      <c r="AA46" s="459"/>
      <c r="AB46" s="459"/>
      <c r="AC46" s="459"/>
      <c r="AD46" s="450"/>
      <c r="AE46" s="450"/>
      <c r="AF46" s="450"/>
      <c r="AG46" s="450"/>
      <c r="AH46" s="450"/>
      <c r="AI46" s="450"/>
    </row>
    <row r="47" spans="1:35" ht="15.6" x14ac:dyDescent="0.3">
      <c r="A47" s="463" t="s">
        <v>314</v>
      </c>
      <c r="B47" s="464"/>
      <c r="C47" s="465"/>
      <c r="D47" s="464"/>
      <c r="E47" s="465"/>
      <c r="F47" s="464"/>
      <c r="G47" s="465"/>
      <c r="H47" s="464"/>
      <c r="I47" s="465"/>
      <c r="J47" s="464"/>
      <c r="K47" s="465"/>
      <c r="L47" s="464"/>
      <c r="M47" s="465"/>
      <c r="N47" s="464"/>
      <c r="O47" s="465"/>
      <c r="P47" s="464"/>
      <c r="Q47" s="464"/>
      <c r="R47" s="464"/>
      <c r="S47" s="464"/>
      <c r="T47" s="464"/>
      <c r="U47" s="454"/>
      <c r="V47" s="448"/>
      <c r="W47" s="449"/>
      <c r="X47" s="449"/>
      <c r="Y47" s="449"/>
      <c r="Z47" s="449"/>
      <c r="AA47" s="449"/>
      <c r="AB47" s="449"/>
      <c r="AC47" s="449"/>
      <c r="AD47" s="450"/>
      <c r="AE47" s="450"/>
      <c r="AF47" s="450"/>
      <c r="AG47" s="450"/>
      <c r="AH47" s="450"/>
      <c r="AI47" s="450"/>
    </row>
    <row r="48" spans="1:35" ht="30.6" x14ac:dyDescent="0.3">
      <c r="A48" s="466" t="s">
        <v>315</v>
      </c>
      <c r="B48" s="456">
        <f>3.376-0.946</f>
        <v>2.4299999999999997</v>
      </c>
      <c r="C48" s="453">
        <v>0.94620450007835077</v>
      </c>
      <c r="D48" s="452">
        <v>4.1099999999999994</v>
      </c>
      <c r="E48" s="453"/>
      <c r="F48" s="452">
        <v>3.4690000000000003</v>
      </c>
      <c r="G48" s="453"/>
      <c r="H48" s="452">
        <v>3.492</v>
      </c>
      <c r="I48" s="453"/>
      <c r="J48" s="456">
        <f>2.655+0.946</f>
        <v>3.601</v>
      </c>
      <c r="K48" s="453"/>
      <c r="L48" s="452">
        <v>2.2000000000000002</v>
      </c>
      <c r="M48" s="453"/>
      <c r="N48" s="452">
        <v>-0.45100000000000001</v>
      </c>
      <c r="O48" s="453"/>
      <c r="P48" s="452"/>
      <c r="Q48" s="452"/>
      <c r="R48" s="452"/>
      <c r="S48" s="452"/>
      <c r="T48" s="452"/>
      <c r="U48" s="457">
        <f t="shared" ref="U48:U53" si="2">B48+D48+F48+H48+J48+L48+N48+P48+Q48+R48+S48+T48</f>
        <v>18.850999999999999</v>
      </c>
      <c r="V48" s="458"/>
      <c r="W48" s="459">
        <f>B48</f>
        <v>2.4299999999999997</v>
      </c>
      <c r="X48" s="459">
        <f>D48</f>
        <v>4.1099999999999994</v>
      </c>
      <c r="Y48" s="459">
        <f>F48</f>
        <v>3.4690000000000003</v>
      </c>
      <c r="Z48" s="459">
        <f>H48</f>
        <v>3.492</v>
      </c>
      <c r="AA48" s="459">
        <f>J48</f>
        <v>3.601</v>
      </c>
      <c r="AB48" s="459">
        <f>L48</f>
        <v>2.2000000000000002</v>
      </c>
      <c r="AC48" s="459">
        <f>N48</f>
        <v>-0.45100000000000001</v>
      </c>
      <c r="AD48" s="450"/>
      <c r="AE48" s="450"/>
      <c r="AF48" s="450"/>
      <c r="AG48" s="450"/>
      <c r="AH48" s="450"/>
      <c r="AI48" s="450"/>
    </row>
    <row r="49" spans="1:35" ht="30.6" x14ac:dyDescent="0.3">
      <c r="A49" s="466" t="s">
        <v>316</v>
      </c>
      <c r="B49" s="456">
        <f>0.20604218554959-0.194</f>
        <v>1.2042185549589995E-2</v>
      </c>
      <c r="C49" s="453">
        <v>0.19357891595951088</v>
      </c>
      <c r="D49" s="452">
        <v>0.55158294683948306</v>
      </c>
      <c r="E49" s="453"/>
      <c r="F49" s="452">
        <v>0</v>
      </c>
      <c r="G49" s="453"/>
      <c r="H49" s="452">
        <v>0.41159975905210122</v>
      </c>
      <c r="I49" s="453"/>
      <c r="J49" s="456">
        <f>0.267764752209326+0.194</f>
        <v>0.461764752209326</v>
      </c>
      <c r="K49" s="453"/>
      <c r="L49" s="452">
        <v>8.1095872403186539E-2</v>
      </c>
      <c r="M49" s="453"/>
      <c r="N49" s="452">
        <v>4.596337502890669E-2</v>
      </c>
      <c r="O49" s="453"/>
      <c r="P49" s="452"/>
      <c r="Q49" s="452"/>
      <c r="R49" s="452"/>
      <c r="S49" s="452"/>
      <c r="T49" s="452"/>
      <c r="U49" s="457">
        <f t="shared" si="2"/>
        <v>1.5640488910825936</v>
      </c>
      <c r="V49" s="458"/>
      <c r="W49" s="459"/>
      <c r="X49" s="459"/>
      <c r="Y49" s="459"/>
      <c r="Z49" s="459"/>
      <c r="AA49" s="459"/>
      <c r="AB49" s="459"/>
      <c r="AC49" s="459"/>
      <c r="AD49" s="462">
        <f>U49</f>
        <v>1.5640488910825936</v>
      </c>
      <c r="AE49" s="450"/>
      <c r="AF49" s="450"/>
      <c r="AG49" s="450"/>
      <c r="AH49" s="450"/>
      <c r="AI49" s="450"/>
    </row>
    <row r="50" spans="1:35" ht="30.6" x14ac:dyDescent="0.3">
      <c r="A50" s="466" t="s">
        <v>317</v>
      </c>
      <c r="B50" s="452"/>
      <c r="C50" s="453"/>
      <c r="D50" s="452"/>
      <c r="E50" s="453"/>
      <c r="F50" s="452"/>
      <c r="G50" s="453"/>
      <c r="H50" s="452"/>
      <c r="I50" s="453"/>
      <c r="J50" s="452"/>
      <c r="K50" s="453"/>
      <c r="L50" s="452"/>
      <c r="M50" s="453"/>
      <c r="N50" s="452"/>
      <c r="O50" s="453"/>
      <c r="P50" s="452"/>
      <c r="Q50" s="452"/>
      <c r="R50" s="452"/>
      <c r="S50" s="452"/>
      <c r="T50" s="452">
        <v>4.01</v>
      </c>
      <c r="U50" s="457">
        <f t="shared" si="2"/>
        <v>4.01</v>
      </c>
      <c r="V50" s="458"/>
      <c r="W50" s="459"/>
      <c r="X50" s="459"/>
      <c r="Y50" s="459"/>
      <c r="Z50" s="459"/>
      <c r="AA50" s="459"/>
      <c r="AB50" s="459"/>
      <c r="AC50" s="459"/>
      <c r="AD50" s="450"/>
      <c r="AE50" s="462"/>
      <c r="AF50" s="450"/>
      <c r="AG50" s="450"/>
      <c r="AH50" s="450"/>
      <c r="AI50" s="462">
        <f>U50</f>
        <v>4.01</v>
      </c>
    </row>
    <row r="51" spans="1:35" ht="30.6" x14ac:dyDescent="0.3">
      <c r="A51" s="466" t="s">
        <v>318</v>
      </c>
      <c r="B51" s="452"/>
      <c r="C51" s="453"/>
      <c r="D51" s="452"/>
      <c r="E51" s="453"/>
      <c r="F51" s="452"/>
      <c r="G51" s="453"/>
      <c r="H51" s="452"/>
      <c r="I51" s="453"/>
      <c r="J51" s="452"/>
      <c r="K51" s="453"/>
      <c r="L51" s="452"/>
      <c r="M51" s="453"/>
      <c r="N51" s="452"/>
      <c r="O51" s="453"/>
      <c r="P51" s="452"/>
      <c r="Q51" s="452"/>
      <c r="R51" s="452"/>
      <c r="S51" s="452"/>
      <c r="T51" s="452">
        <v>0.53</v>
      </c>
      <c r="U51" s="457">
        <f t="shared" si="2"/>
        <v>0.53</v>
      </c>
      <c r="V51" s="458"/>
      <c r="W51" s="459"/>
      <c r="X51" s="459"/>
      <c r="Y51" s="459"/>
      <c r="Z51" s="459"/>
      <c r="AA51" s="459"/>
      <c r="AB51" s="459"/>
      <c r="AC51" s="459"/>
      <c r="AD51" s="450"/>
      <c r="AE51" s="462">
        <f>U51</f>
        <v>0.53</v>
      </c>
      <c r="AF51" s="450"/>
      <c r="AG51" s="450"/>
      <c r="AH51" s="450"/>
      <c r="AI51" s="450"/>
    </row>
    <row r="52" spans="1:35" ht="30.6" x14ac:dyDescent="0.3">
      <c r="A52" s="466" t="s">
        <v>319</v>
      </c>
      <c r="B52" s="452"/>
      <c r="C52" s="453"/>
      <c r="D52" s="452"/>
      <c r="E52" s="453"/>
      <c r="F52" s="452"/>
      <c r="G52" s="453"/>
      <c r="H52" s="452"/>
      <c r="I52" s="453"/>
      <c r="J52" s="452"/>
      <c r="K52" s="453"/>
      <c r="L52" s="452"/>
      <c r="M52" s="453"/>
      <c r="N52" s="452"/>
      <c r="O52" s="453"/>
      <c r="P52" s="452"/>
      <c r="Q52" s="452"/>
      <c r="R52" s="452"/>
      <c r="S52" s="452"/>
      <c r="T52" s="452">
        <v>2.3319999999999999</v>
      </c>
      <c r="U52" s="457">
        <f t="shared" si="2"/>
        <v>2.3319999999999999</v>
      </c>
      <c r="V52" s="458"/>
      <c r="W52" s="459"/>
      <c r="X52" s="459"/>
      <c r="Y52" s="459"/>
      <c r="Z52" s="459"/>
      <c r="AA52" s="459"/>
      <c r="AB52" s="459"/>
      <c r="AC52" s="459"/>
      <c r="AD52" s="450"/>
      <c r="AE52" s="450"/>
      <c r="AF52" s="450"/>
      <c r="AG52" s="462">
        <f>U52</f>
        <v>2.3319999999999999</v>
      </c>
      <c r="AH52" s="450"/>
      <c r="AI52" s="450"/>
    </row>
    <row r="53" spans="1:35" ht="29.4" x14ac:dyDescent="0.3">
      <c r="A53" s="467" t="s">
        <v>320</v>
      </c>
      <c r="B53" s="464">
        <f t="shared" ref="B53:T53" si="3">SUM(B46:B52)</f>
        <v>14.003360185549589</v>
      </c>
      <c r="C53" s="465">
        <f t="shared" si="3"/>
        <v>6.0429053028821453</v>
      </c>
      <c r="D53" s="464">
        <f t="shared" si="3"/>
        <v>21.832847130365671</v>
      </c>
      <c r="E53" s="465">
        <f t="shared" si="3"/>
        <v>1.9539127863856531E-2</v>
      </c>
      <c r="F53" s="464">
        <f t="shared" si="3"/>
        <v>28.065000000000001</v>
      </c>
      <c r="G53" s="465">
        <f t="shared" si="3"/>
        <v>0</v>
      </c>
      <c r="H53" s="464">
        <f t="shared" si="3"/>
        <v>12.779709412455492</v>
      </c>
      <c r="I53" s="465">
        <f t="shared" si="3"/>
        <v>0.50367205885706157</v>
      </c>
      <c r="J53" s="464">
        <f t="shared" si="3"/>
        <v>20.83336199852917</v>
      </c>
      <c r="K53" s="465">
        <f t="shared" si="3"/>
        <v>0.16630296611699324</v>
      </c>
      <c r="L53" s="464">
        <f t="shared" si="3"/>
        <v>15.038163083465721</v>
      </c>
      <c r="M53" s="465">
        <f t="shared" si="3"/>
        <v>1.0174702468501939E-2</v>
      </c>
      <c r="N53" s="464">
        <f t="shared" si="3"/>
        <v>2.8520300271086465</v>
      </c>
      <c r="O53" s="465">
        <f t="shared" si="3"/>
        <v>6.0662489791641905E-3</v>
      </c>
      <c r="P53" s="464">
        <f t="shared" si="3"/>
        <v>3.1969999999999996</v>
      </c>
      <c r="Q53" s="464">
        <f t="shared" si="3"/>
        <v>0.57399999999999984</v>
      </c>
      <c r="R53" s="464">
        <f t="shared" si="3"/>
        <v>0.90400000000000003</v>
      </c>
      <c r="S53" s="464">
        <f t="shared" si="3"/>
        <v>0.17200000000000001</v>
      </c>
      <c r="T53" s="464">
        <f t="shared" si="3"/>
        <v>15.432999999999996</v>
      </c>
      <c r="U53" s="457">
        <f t="shared" si="2"/>
        <v>135.68447183747426</v>
      </c>
      <c r="V53" s="458"/>
      <c r="W53" s="459"/>
      <c r="X53" s="459"/>
      <c r="Y53" s="459"/>
      <c r="Z53" s="459"/>
      <c r="AA53" s="459"/>
      <c r="AB53" s="459"/>
      <c r="AC53" s="459"/>
      <c r="AD53" s="450"/>
      <c r="AE53" s="450"/>
      <c r="AF53" s="450"/>
      <c r="AG53" s="450"/>
      <c r="AH53" s="450"/>
      <c r="AI53" s="450"/>
    </row>
    <row r="54" spans="1:35" ht="29.4" x14ac:dyDescent="0.3">
      <c r="A54" s="467" t="s">
        <v>321</v>
      </c>
      <c r="B54" s="468"/>
      <c r="C54" s="465"/>
      <c r="D54" s="468"/>
      <c r="E54" s="465"/>
      <c r="F54" s="468"/>
      <c r="G54" s="465"/>
      <c r="H54" s="468"/>
      <c r="I54" s="465"/>
      <c r="J54" s="468"/>
      <c r="K54" s="465"/>
      <c r="L54" s="468"/>
      <c r="M54" s="465"/>
      <c r="N54" s="468"/>
      <c r="O54" s="465"/>
      <c r="P54" s="468"/>
      <c r="Q54" s="468"/>
      <c r="R54" s="468"/>
      <c r="S54" s="468"/>
      <c r="T54" s="468"/>
      <c r="U54" s="457"/>
      <c r="V54" s="458"/>
      <c r="W54" s="459"/>
      <c r="X54" s="459"/>
      <c r="Y54" s="459"/>
      <c r="Z54" s="459"/>
      <c r="AA54" s="459"/>
      <c r="AB54" s="459"/>
      <c r="AC54" s="459"/>
      <c r="AD54" s="450"/>
      <c r="AE54" s="450"/>
      <c r="AF54" s="450"/>
      <c r="AG54" s="450"/>
      <c r="AH54" s="450"/>
      <c r="AI54" s="450"/>
    </row>
    <row r="55" spans="1:35" ht="15.6" x14ac:dyDescent="0.3">
      <c r="A55" s="463" t="s">
        <v>322</v>
      </c>
      <c r="B55" s="464"/>
      <c r="C55" s="465"/>
      <c r="D55" s="464"/>
      <c r="E55" s="465"/>
      <c r="F55" s="464"/>
      <c r="G55" s="465"/>
      <c r="H55" s="464"/>
      <c r="I55" s="465"/>
      <c r="J55" s="464"/>
      <c r="K55" s="465"/>
      <c r="L55" s="464"/>
      <c r="M55" s="465"/>
      <c r="N55" s="464"/>
      <c r="O55" s="465"/>
      <c r="P55" s="464"/>
      <c r="Q55" s="464"/>
      <c r="R55" s="464"/>
      <c r="S55" s="464"/>
      <c r="T55" s="464"/>
      <c r="U55" s="454"/>
      <c r="V55" s="448"/>
      <c r="W55" s="449"/>
      <c r="X55" s="449"/>
      <c r="Y55" s="449"/>
      <c r="Z55" s="449"/>
      <c r="AA55" s="449"/>
      <c r="AB55" s="449"/>
      <c r="AC55" s="449"/>
      <c r="AD55" s="450"/>
      <c r="AE55" s="450"/>
      <c r="AF55" s="450"/>
      <c r="AG55" s="450"/>
      <c r="AH55" s="450"/>
      <c r="AI55" s="450"/>
    </row>
    <row r="56" spans="1:35" ht="30.6" x14ac:dyDescent="0.3">
      <c r="A56" s="466" t="s">
        <v>315</v>
      </c>
      <c r="B56" s="456">
        <f>4.815-1.351</f>
        <v>3.4640000000000004</v>
      </c>
      <c r="C56" s="453">
        <v>1.3509875022221272</v>
      </c>
      <c r="D56" s="452">
        <v>3.6070000000000002</v>
      </c>
      <c r="E56" s="453"/>
      <c r="F56" s="452">
        <v>-0.69899999999999995</v>
      </c>
      <c r="G56" s="453"/>
      <c r="H56" s="452">
        <v>2.5880000000000001</v>
      </c>
      <c r="I56" s="453"/>
      <c r="J56" s="456">
        <f>1.23+1.351</f>
        <v>2.581</v>
      </c>
      <c r="K56" s="453"/>
      <c r="L56" s="452">
        <v>1.1559999999999999</v>
      </c>
      <c r="M56" s="453"/>
      <c r="N56" s="452">
        <v>0.20499999999999999</v>
      </c>
      <c r="O56" s="453"/>
      <c r="P56" s="464"/>
      <c r="Q56" s="464"/>
      <c r="R56" s="464"/>
      <c r="S56" s="464"/>
      <c r="T56" s="464"/>
      <c r="U56" s="457">
        <f t="shared" ref="U56:U62" si="4">B56+D56+F56+H56+J56+L56+N56+P56+Q56+R56+S56+T56</f>
        <v>12.902000000000001</v>
      </c>
      <c r="V56" s="458"/>
      <c r="W56" s="459">
        <f>B56</f>
        <v>3.4640000000000004</v>
      </c>
      <c r="X56" s="459">
        <f>D56</f>
        <v>3.6070000000000002</v>
      </c>
      <c r="Y56" s="459">
        <f>F56</f>
        <v>-0.69899999999999995</v>
      </c>
      <c r="Z56" s="459">
        <f>H56</f>
        <v>2.5880000000000001</v>
      </c>
      <c r="AA56" s="459">
        <f>J56</f>
        <v>2.581</v>
      </c>
      <c r="AB56" s="459">
        <f>L56</f>
        <v>1.1559999999999999</v>
      </c>
      <c r="AC56" s="459">
        <f>N56</f>
        <v>0.20499999999999999</v>
      </c>
      <c r="AD56" s="450"/>
      <c r="AE56" s="450"/>
      <c r="AF56" s="450"/>
      <c r="AG56" s="450"/>
      <c r="AH56" s="450"/>
      <c r="AI56" s="450"/>
    </row>
    <row r="57" spans="1:35" ht="30.6" x14ac:dyDescent="0.3">
      <c r="A57" s="466" t="s">
        <v>319</v>
      </c>
      <c r="B57" s="464"/>
      <c r="C57" s="465"/>
      <c r="D57" s="464"/>
      <c r="E57" s="465"/>
      <c r="F57" s="464"/>
      <c r="G57" s="465"/>
      <c r="H57" s="464"/>
      <c r="I57" s="465"/>
      <c r="J57" s="464"/>
      <c r="K57" s="465"/>
      <c r="L57" s="464"/>
      <c r="M57" s="465"/>
      <c r="N57" s="464"/>
      <c r="O57" s="465"/>
      <c r="P57" s="464"/>
      <c r="Q57" s="464"/>
      <c r="R57" s="464"/>
      <c r="S57" s="464"/>
      <c r="T57" s="452">
        <v>5.6000000000000001E-2</v>
      </c>
      <c r="U57" s="457">
        <f t="shared" si="4"/>
        <v>5.6000000000000001E-2</v>
      </c>
      <c r="V57" s="458"/>
      <c r="W57" s="459"/>
      <c r="X57" s="459"/>
      <c r="Y57" s="459"/>
      <c r="Z57" s="459"/>
      <c r="AA57" s="459"/>
      <c r="AB57" s="459"/>
      <c r="AC57" s="459"/>
      <c r="AD57" s="450"/>
      <c r="AE57" s="450"/>
      <c r="AF57" s="450"/>
      <c r="AG57" s="462">
        <f>U57</f>
        <v>5.6000000000000001E-2</v>
      </c>
      <c r="AH57" s="450"/>
      <c r="AI57" s="450"/>
    </row>
    <row r="58" spans="1:35" ht="30.6" x14ac:dyDescent="0.3">
      <c r="A58" s="466" t="s">
        <v>318</v>
      </c>
      <c r="B58" s="464"/>
      <c r="C58" s="465"/>
      <c r="D58" s="464"/>
      <c r="E58" s="465"/>
      <c r="F58" s="464"/>
      <c r="G58" s="465"/>
      <c r="H58" s="464"/>
      <c r="I58" s="465"/>
      <c r="J58" s="464"/>
      <c r="K58" s="465"/>
      <c r="L58" s="464"/>
      <c r="M58" s="465"/>
      <c r="N58" s="464"/>
      <c r="O58" s="465"/>
      <c r="P58" s="464"/>
      <c r="Q58" s="464"/>
      <c r="R58" s="464"/>
      <c r="S58" s="464"/>
      <c r="T58" s="452">
        <v>1.0209999999999999</v>
      </c>
      <c r="U58" s="457">
        <f t="shared" si="4"/>
        <v>1.0209999999999999</v>
      </c>
      <c r="V58" s="458"/>
      <c r="W58" s="459"/>
      <c r="X58" s="459"/>
      <c r="Y58" s="459"/>
      <c r="Z58" s="459"/>
      <c r="AA58" s="459"/>
      <c r="AB58" s="459"/>
      <c r="AC58" s="459"/>
      <c r="AD58" s="450"/>
      <c r="AE58" s="462">
        <f>U58</f>
        <v>1.0209999999999999</v>
      </c>
      <c r="AF58" s="450"/>
      <c r="AG58" s="450"/>
      <c r="AH58" s="450"/>
      <c r="AI58" s="450"/>
    </row>
    <row r="59" spans="1:35" ht="30.6" x14ac:dyDescent="0.3">
      <c r="A59" s="466" t="s">
        <v>317</v>
      </c>
      <c r="B59" s="464"/>
      <c r="C59" s="465"/>
      <c r="D59" s="464"/>
      <c r="E59" s="465"/>
      <c r="F59" s="464"/>
      <c r="G59" s="465"/>
      <c r="H59" s="464"/>
      <c r="I59" s="465"/>
      <c r="J59" s="464"/>
      <c r="K59" s="465"/>
      <c r="L59" s="464"/>
      <c r="M59" s="465"/>
      <c r="N59" s="464"/>
      <c r="O59" s="465"/>
      <c r="P59" s="464"/>
      <c r="Q59" s="464"/>
      <c r="R59" s="464"/>
      <c r="S59" s="464"/>
      <c r="T59" s="452">
        <v>-0.42899999999999999</v>
      </c>
      <c r="U59" s="457">
        <f t="shared" si="4"/>
        <v>-0.42899999999999999</v>
      </c>
      <c r="V59" s="458"/>
      <c r="W59" s="459"/>
      <c r="X59" s="459"/>
      <c r="Y59" s="459"/>
      <c r="Z59" s="459"/>
      <c r="AA59" s="459"/>
      <c r="AB59" s="459"/>
      <c r="AC59" s="459"/>
      <c r="AD59" s="450"/>
      <c r="AE59" s="450"/>
      <c r="AF59" s="450"/>
      <c r="AG59" s="450"/>
      <c r="AH59" s="450"/>
      <c r="AI59" s="462">
        <f>U59</f>
        <v>-0.42899999999999999</v>
      </c>
    </row>
    <row r="60" spans="1:35" ht="30.6" x14ac:dyDescent="0.3">
      <c r="A60" s="466" t="s">
        <v>316</v>
      </c>
      <c r="B60" s="469">
        <f>0.195760304855152-0.184</f>
        <v>1.1760304855152004E-2</v>
      </c>
      <c r="C60" s="470">
        <v>0.18391897513940489</v>
      </c>
      <c r="D60" s="471">
        <v>0.52405795220130902</v>
      </c>
      <c r="E60" s="470"/>
      <c r="F60" s="471">
        <v>0</v>
      </c>
      <c r="G60" s="470"/>
      <c r="H60" s="471">
        <v>0.39106018068787057</v>
      </c>
      <c r="I60" s="470"/>
      <c r="J60" s="469">
        <f>0.254402802912154+0.184</f>
        <v>0.438402802912154</v>
      </c>
      <c r="K60" s="470"/>
      <c r="L60" s="471">
        <v>7.7049040524380566E-2</v>
      </c>
      <c r="M60" s="470"/>
      <c r="N60" s="471">
        <v>4.3669718819134104E-2</v>
      </c>
      <c r="O60" s="470"/>
      <c r="P60" s="464"/>
      <c r="Q60" s="464"/>
      <c r="R60" s="464"/>
      <c r="S60" s="464"/>
      <c r="T60" s="464"/>
      <c r="U60" s="457">
        <f t="shared" si="4"/>
        <v>1.4860000000000004</v>
      </c>
      <c r="V60" s="458"/>
      <c r="W60" s="459"/>
      <c r="X60" s="459"/>
      <c r="Y60" s="459"/>
      <c r="Z60" s="459"/>
      <c r="AA60" s="459"/>
      <c r="AB60" s="459"/>
      <c r="AC60" s="459"/>
      <c r="AD60" s="462">
        <f>U60</f>
        <v>1.4860000000000004</v>
      </c>
      <c r="AE60" s="450"/>
      <c r="AF60" s="450"/>
      <c r="AG60" s="450"/>
      <c r="AH60" s="450"/>
      <c r="AI60" s="450"/>
    </row>
    <row r="61" spans="1:35" ht="29.4" x14ac:dyDescent="0.3">
      <c r="A61" s="467" t="s">
        <v>323</v>
      </c>
      <c r="B61" s="464">
        <f>SUM(B53:B60)</f>
        <v>17.479120490404739</v>
      </c>
      <c r="C61" s="465">
        <f t="shared" ref="C61:T61" si="5">SUM(C53:C60)</f>
        <v>7.5778117802436773</v>
      </c>
      <c r="D61" s="464">
        <f t="shared" si="5"/>
        <v>25.963905082566981</v>
      </c>
      <c r="E61" s="465">
        <f t="shared" si="5"/>
        <v>1.9539127863856531E-2</v>
      </c>
      <c r="F61" s="464">
        <f t="shared" si="5"/>
        <v>27.366</v>
      </c>
      <c r="G61" s="465">
        <f t="shared" si="5"/>
        <v>0</v>
      </c>
      <c r="H61" s="464">
        <f t="shared" si="5"/>
        <v>15.758769593143365</v>
      </c>
      <c r="I61" s="465">
        <f t="shared" si="5"/>
        <v>0.50367205885706157</v>
      </c>
      <c r="J61" s="464">
        <f t="shared" si="5"/>
        <v>23.852764801441324</v>
      </c>
      <c r="K61" s="465">
        <f t="shared" si="5"/>
        <v>0.16630296611699324</v>
      </c>
      <c r="L61" s="464">
        <f t="shared" si="5"/>
        <v>16.2712121239901</v>
      </c>
      <c r="M61" s="465">
        <f t="shared" si="5"/>
        <v>1.0174702468501939E-2</v>
      </c>
      <c r="N61" s="464">
        <f t="shared" si="5"/>
        <v>3.1006997459277805</v>
      </c>
      <c r="O61" s="465">
        <f t="shared" si="5"/>
        <v>6.0662489791641905E-3</v>
      </c>
      <c r="P61" s="464">
        <f t="shared" si="5"/>
        <v>3.1969999999999996</v>
      </c>
      <c r="Q61" s="464">
        <f t="shared" si="5"/>
        <v>0.57399999999999984</v>
      </c>
      <c r="R61" s="464">
        <f t="shared" si="5"/>
        <v>0.90400000000000003</v>
      </c>
      <c r="S61" s="464">
        <f t="shared" si="5"/>
        <v>0.17200000000000001</v>
      </c>
      <c r="T61" s="464">
        <f t="shared" si="5"/>
        <v>16.080999999999996</v>
      </c>
      <c r="U61" s="457">
        <f>B61+D61+F61+H61+J61+L61+N61+P61+Q61+R61+S61+T61</f>
        <v>150.72047183747429</v>
      </c>
      <c r="V61" s="458"/>
      <c r="W61" s="459"/>
      <c r="X61" s="459"/>
      <c r="Y61" s="459"/>
      <c r="Z61" s="459"/>
      <c r="AA61" s="459"/>
      <c r="AB61" s="459"/>
      <c r="AC61" s="459"/>
      <c r="AD61" s="450"/>
      <c r="AE61" s="450"/>
      <c r="AF61" s="450"/>
      <c r="AG61" s="450"/>
      <c r="AH61" s="450"/>
      <c r="AI61" s="450"/>
    </row>
    <row r="62" spans="1:35" ht="15.6" x14ac:dyDescent="0.3">
      <c r="A62" s="466" t="s">
        <v>324</v>
      </c>
      <c r="B62" s="472"/>
      <c r="C62" s="470"/>
      <c r="D62" s="471"/>
      <c r="E62" s="470"/>
      <c r="F62" s="471"/>
      <c r="G62" s="470"/>
      <c r="H62" s="471"/>
      <c r="I62" s="470"/>
      <c r="J62" s="472"/>
      <c r="K62" s="470"/>
      <c r="L62" s="471"/>
      <c r="M62" s="470"/>
      <c r="N62" s="471"/>
      <c r="O62" s="470"/>
      <c r="P62" s="464"/>
      <c r="Q62" s="464"/>
      <c r="R62" s="464"/>
      <c r="S62" s="464"/>
      <c r="T62" s="452">
        <v>0.52</v>
      </c>
      <c r="U62" s="457">
        <f t="shared" si="4"/>
        <v>0.52</v>
      </c>
      <c r="V62" s="458"/>
      <c r="W62" s="459"/>
      <c r="X62" s="459"/>
      <c r="Y62" s="459"/>
      <c r="Z62" s="459"/>
      <c r="AA62" s="459"/>
      <c r="AB62" s="459"/>
      <c r="AC62" s="459"/>
      <c r="AD62" s="450"/>
      <c r="AE62" s="450"/>
      <c r="AF62" s="450"/>
      <c r="AG62" s="450"/>
      <c r="AH62" s="462">
        <f>U62</f>
        <v>0.52</v>
      </c>
      <c r="AI62" s="450"/>
    </row>
    <row r="63" spans="1:35" ht="15.6" x14ac:dyDescent="0.3">
      <c r="A63" s="467" t="s">
        <v>325</v>
      </c>
      <c r="B63" s="473">
        <f>SUM(B61:B62)</f>
        <v>17.479120490404739</v>
      </c>
      <c r="C63" s="474">
        <f t="shared" ref="C63:T63" si="6">SUM(C61:C62)</f>
        <v>7.5778117802436773</v>
      </c>
      <c r="D63" s="473">
        <f t="shared" si="6"/>
        <v>25.963905082566981</v>
      </c>
      <c r="E63" s="474">
        <f t="shared" si="6"/>
        <v>1.9539127863856531E-2</v>
      </c>
      <c r="F63" s="473">
        <f t="shared" si="6"/>
        <v>27.366</v>
      </c>
      <c r="G63" s="474">
        <f t="shared" si="6"/>
        <v>0</v>
      </c>
      <c r="H63" s="473">
        <f t="shared" si="6"/>
        <v>15.758769593143365</v>
      </c>
      <c r="I63" s="474">
        <f t="shared" si="6"/>
        <v>0.50367205885706157</v>
      </c>
      <c r="J63" s="473">
        <f t="shared" si="6"/>
        <v>23.852764801441324</v>
      </c>
      <c r="K63" s="474">
        <f t="shared" si="6"/>
        <v>0.16630296611699324</v>
      </c>
      <c r="L63" s="473">
        <f t="shared" si="6"/>
        <v>16.2712121239901</v>
      </c>
      <c r="M63" s="474">
        <f t="shared" si="6"/>
        <v>1.0174702468501939E-2</v>
      </c>
      <c r="N63" s="473">
        <f t="shared" si="6"/>
        <v>3.1006997459277805</v>
      </c>
      <c r="O63" s="474">
        <f t="shared" si="6"/>
        <v>6.0662489791641905E-3</v>
      </c>
      <c r="P63" s="473">
        <f t="shared" si="6"/>
        <v>3.1969999999999996</v>
      </c>
      <c r="Q63" s="473">
        <f t="shared" si="6"/>
        <v>0.57399999999999984</v>
      </c>
      <c r="R63" s="473">
        <f t="shared" si="6"/>
        <v>0.90400000000000003</v>
      </c>
      <c r="S63" s="473">
        <f t="shared" si="6"/>
        <v>0.17200000000000001</v>
      </c>
      <c r="T63" s="473">
        <f t="shared" si="6"/>
        <v>16.600999999999996</v>
      </c>
      <c r="U63" s="457">
        <f>B63+D63+F63+H63+J63+L63+N63+P63+Q63+R63+S63+T63</f>
        <v>151.2404718374743</v>
      </c>
      <c r="V63" s="458"/>
      <c r="W63" s="459"/>
      <c r="X63" s="459"/>
      <c r="Y63" s="459"/>
      <c r="Z63" s="459"/>
      <c r="AA63" s="459"/>
      <c r="AB63" s="459"/>
      <c r="AC63" s="459"/>
      <c r="AD63" s="450"/>
      <c r="AE63" s="450"/>
      <c r="AF63" s="450"/>
      <c r="AG63" s="450"/>
      <c r="AH63" s="450"/>
      <c r="AI63" s="450"/>
    </row>
    <row r="64" spans="1:35" ht="15.6" x14ac:dyDescent="0.3">
      <c r="A64" s="467" t="s">
        <v>326</v>
      </c>
      <c r="B64" s="464"/>
      <c r="C64" s="465"/>
      <c r="D64" s="464"/>
      <c r="E64" s="465"/>
      <c r="F64" s="464"/>
      <c r="G64" s="465"/>
      <c r="H64" s="464"/>
      <c r="I64" s="465"/>
      <c r="J64" s="464"/>
      <c r="K64" s="465"/>
      <c r="L64" s="464"/>
      <c r="M64" s="465"/>
      <c r="N64" s="464"/>
      <c r="O64" s="465"/>
      <c r="P64" s="464"/>
      <c r="Q64" s="464"/>
      <c r="R64" s="464"/>
      <c r="S64" s="464"/>
      <c r="T64" s="464"/>
      <c r="U64" s="457"/>
      <c r="V64" s="458"/>
      <c r="W64" s="459"/>
      <c r="X64" s="459"/>
      <c r="Y64" s="459"/>
      <c r="Z64" s="459"/>
      <c r="AA64" s="459"/>
      <c r="AB64" s="459"/>
      <c r="AC64" s="459"/>
      <c r="AD64" s="450"/>
      <c r="AE64" s="450"/>
      <c r="AF64" s="450"/>
      <c r="AG64" s="450"/>
      <c r="AH64" s="450"/>
      <c r="AI64" s="450"/>
    </row>
    <row r="65" spans="1:35" ht="15.6" x14ac:dyDescent="0.3">
      <c r="A65" s="467" t="s">
        <v>327</v>
      </c>
      <c r="B65" s="464">
        <v>7.3070000000000004</v>
      </c>
      <c r="C65" s="465"/>
      <c r="D65" s="464">
        <v>20.347000000000001</v>
      </c>
      <c r="E65" s="465"/>
      <c r="F65" s="464">
        <v>7.9459999999999997</v>
      </c>
      <c r="G65" s="465"/>
      <c r="H65" s="464">
        <v>14.006</v>
      </c>
      <c r="I65" s="465"/>
      <c r="J65" s="464">
        <v>6.056</v>
      </c>
      <c r="K65" s="465"/>
      <c r="L65" s="464">
        <v>7.6449999999999996</v>
      </c>
      <c r="M65" s="465"/>
      <c r="N65" s="464">
        <v>1.365</v>
      </c>
      <c r="O65" s="465"/>
      <c r="P65" s="464"/>
      <c r="Q65" s="464"/>
      <c r="R65" s="464"/>
      <c r="S65" s="464"/>
      <c r="T65" s="464"/>
      <c r="U65" s="457">
        <f t="shared" ref="U65:U72" si="7">B65+D65+F65+H65+J65+L65+N65+P65+Q65+R65+S65+T65</f>
        <v>64.671999999999997</v>
      </c>
      <c r="V65" s="458"/>
      <c r="W65" s="459">
        <f>B65</f>
        <v>7.3070000000000004</v>
      </c>
      <c r="X65" s="459">
        <f>D65</f>
        <v>20.347000000000001</v>
      </c>
      <c r="Y65" s="459">
        <f>F65</f>
        <v>7.9459999999999997</v>
      </c>
      <c r="Z65" s="459">
        <f>H65</f>
        <v>14.006</v>
      </c>
      <c r="AA65" s="459">
        <f>J65</f>
        <v>6.056</v>
      </c>
      <c r="AB65" s="459">
        <f>L65</f>
        <v>7.6449999999999996</v>
      </c>
      <c r="AC65" s="459">
        <f>N65</f>
        <v>1.365</v>
      </c>
      <c r="AD65" s="450"/>
      <c r="AE65" s="450"/>
      <c r="AF65" s="450"/>
      <c r="AG65" s="450"/>
      <c r="AH65" s="450"/>
      <c r="AI65" s="450"/>
    </row>
    <row r="66" spans="1:35" ht="15.6" x14ac:dyDescent="0.3">
      <c r="A66" s="467" t="s">
        <v>328</v>
      </c>
      <c r="B66" s="464"/>
      <c r="C66" s="465"/>
      <c r="D66" s="464"/>
      <c r="E66" s="465"/>
      <c r="F66" s="464"/>
      <c r="G66" s="465"/>
      <c r="H66" s="464"/>
      <c r="I66" s="465"/>
      <c r="J66" s="464"/>
      <c r="K66" s="465"/>
      <c r="L66" s="464"/>
      <c r="M66" s="465"/>
      <c r="N66" s="464"/>
      <c r="O66" s="465"/>
      <c r="P66" s="464"/>
      <c r="Q66" s="464"/>
      <c r="R66" s="464"/>
      <c r="S66" s="464"/>
      <c r="T66" s="464">
        <v>-1.417</v>
      </c>
      <c r="U66" s="457">
        <f t="shared" si="7"/>
        <v>-1.417</v>
      </c>
      <c r="V66" s="458"/>
      <c r="W66" s="459"/>
      <c r="X66" s="459"/>
      <c r="Y66" s="459"/>
      <c r="Z66" s="459"/>
      <c r="AA66" s="459"/>
      <c r="AB66" s="459"/>
      <c r="AC66" s="459"/>
      <c r="AD66" s="450"/>
      <c r="AE66" s="450"/>
      <c r="AF66" s="450"/>
      <c r="AG66" s="450"/>
      <c r="AH66" s="450"/>
      <c r="AI66" s="462">
        <f>T66</f>
        <v>-1.417</v>
      </c>
    </row>
    <row r="67" spans="1:35" ht="15.6" x14ac:dyDescent="0.3">
      <c r="A67" s="467" t="s">
        <v>329</v>
      </c>
      <c r="B67" s="464"/>
      <c r="C67" s="465"/>
      <c r="D67" s="464"/>
      <c r="E67" s="465"/>
      <c r="F67" s="464"/>
      <c r="G67" s="465"/>
      <c r="H67" s="464"/>
      <c r="I67" s="465"/>
      <c r="J67" s="464"/>
      <c r="K67" s="465"/>
      <c r="L67" s="464"/>
      <c r="M67" s="465"/>
      <c r="N67" s="464"/>
      <c r="O67" s="465"/>
      <c r="P67" s="464"/>
      <c r="Q67" s="464"/>
      <c r="R67" s="464"/>
      <c r="S67" s="464"/>
      <c r="T67" s="464">
        <v>2.2480000000000002</v>
      </c>
      <c r="U67" s="457">
        <f t="shared" si="7"/>
        <v>2.2480000000000002</v>
      </c>
      <c r="V67" s="458"/>
      <c r="W67" s="459"/>
      <c r="X67" s="459"/>
      <c r="Y67" s="459"/>
      <c r="Z67" s="459"/>
      <c r="AA67" s="459"/>
      <c r="AB67" s="459"/>
      <c r="AC67" s="459"/>
      <c r="AD67" s="450"/>
      <c r="AE67" s="462">
        <f>T67</f>
        <v>2.2480000000000002</v>
      </c>
      <c r="AF67" s="450"/>
      <c r="AG67" s="450"/>
      <c r="AH67" s="450"/>
      <c r="AI67" s="450"/>
    </row>
    <row r="68" spans="1:35" ht="15.6" x14ac:dyDescent="0.3">
      <c r="A68" s="467" t="s">
        <v>330</v>
      </c>
      <c r="B68" s="464"/>
      <c r="C68" s="465"/>
      <c r="D68" s="464"/>
      <c r="E68" s="465"/>
      <c r="F68" s="464"/>
      <c r="G68" s="465"/>
      <c r="H68" s="464"/>
      <c r="I68" s="465"/>
      <c r="J68" s="464"/>
      <c r="K68" s="465"/>
      <c r="L68" s="464"/>
      <c r="M68" s="465"/>
      <c r="N68" s="464"/>
      <c r="O68" s="465"/>
      <c r="P68" s="464"/>
      <c r="Q68" s="464"/>
      <c r="R68" s="464"/>
      <c r="S68" s="464"/>
      <c r="T68" s="464">
        <v>0</v>
      </c>
      <c r="U68" s="457">
        <f t="shared" si="7"/>
        <v>0</v>
      </c>
      <c r="V68" s="458"/>
      <c r="W68" s="459"/>
      <c r="X68" s="459"/>
      <c r="Y68" s="459"/>
      <c r="Z68" s="459"/>
      <c r="AA68" s="459"/>
      <c r="AB68" s="459"/>
      <c r="AC68" s="459"/>
      <c r="AD68" s="462">
        <f>U68</f>
        <v>0</v>
      </c>
      <c r="AE68" s="450"/>
      <c r="AF68" s="450"/>
      <c r="AG68" s="450"/>
      <c r="AH68" s="450"/>
      <c r="AI68" s="450"/>
    </row>
    <row r="69" spans="1:35" ht="15.6" x14ac:dyDescent="0.3">
      <c r="A69" s="467" t="s">
        <v>331</v>
      </c>
      <c r="B69" s="464"/>
      <c r="C69" s="465"/>
      <c r="D69" s="464"/>
      <c r="E69" s="465"/>
      <c r="F69" s="464"/>
      <c r="G69" s="465"/>
      <c r="H69" s="464"/>
      <c r="I69" s="465"/>
      <c r="J69" s="464"/>
      <c r="K69" s="465"/>
      <c r="L69" s="464"/>
      <c r="M69" s="465"/>
      <c r="N69" s="464"/>
      <c r="O69" s="465"/>
      <c r="P69" s="464"/>
      <c r="Q69" s="464"/>
      <c r="R69" s="464"/>
      <c r="S69" s="464"/>
      <c r="T69" s="464">
        <v>1.33</v>
      </c>
      <c r="U69" s="457">
        <f t="shared" si="7"/>
        <v>1.33</v>
      </c>
      <c r="V69" s="458"/>
      <c r="W69" s="459"/>
      <c r="X69" s="459"/>
      <c r="Y69" s="459"/>
      <c r="Z69" s="459"/>
      <c r="AA69" s="459"/>
      <c r="AB69" s="459"/>
      <c r="AC69" s="459"/>
      <c r="AD69" s="450"/>
      <c r="AE69" s="450"/>
      <c r="AF69" s="450"/>
      <c r="AG69" s="462">
        <f>T69</f>
        <v>1.33</v>
      </c>
      <c r="AH69" s="450"/>
      <c r="AI69" s="450"/>
    </row>
    <row r="70" spans="1:35" ht="15.6" x14ac:dyDescent="0.3">
      <c r="A70" s="467" t="s">
        <v>332</v>
      </c>
      <c r="B70" s="464">
        <v>3.3000000000000002E-2</v>
      </c>
      <c r="C70" s="465"/>
      <c r="D70" s="464">
        <v>5.3999999999999999E-2</v>
      </c>
      <c r="E70" s="465"/>
      <c r="F70" s="464">
        <v>8.4000000000000005E-2</v>
      </c>
      <c r="G70" s="465"/>
      <c r="H70" s="464">
        <v>3.9E-2</v>
      </c>
      <c r="I70" s="465"/>
      <c r="J70" s="464">
        <v>4.2000000000000003E-2</v>
      </c>
      <c r="K70" s="465"/>
      <c r="L70" s="464">
        <v>4.4999999999999998E-2</v>
      </c>
      <c r="M70" s="465"/>
      <c r="N70" s="464">
        <v>2.4E-2</v>
      </c>
      <c r="O70" s="465"/>
      <c r="P70" s="464"/>
      <c r="Q70" s="464"/>
      <c r="R70" s="464"/>
      <c r="S70" s="464"/>
      <c r="T70" s="464"/>
      <c r="U70" s="457">
        <f t="shared" si="7"/>
        <v>0.32100000000000001</v>
      </c>
      <c r="V70" s="458"/>
      <c r="W70" s="459">
        <f>B70</f>
        <v>3.3000000000000002E-2</v>
      </c>
      <c r="X70" s="459">
        <f>D70</f>
        <v>5.3999999999999999E-2</v>
      </c>
      <c r="Y70" s="459">
        <f>F70</f>
        <v>8.4000000000000005E-2</v>
      </c>
      <c r="Z70" s="459">
        <f>H70</f>
        <v>3.9E-2</v>
      </c>
      <c r="AA70" s="459">
        <f>J70</f>
        <v>4.2000000000000003E-2</v>
      </c>
      <c r="AB70" s="459">
        <f>L70</f>
        <v>4.4999999999999998E-2</v>
      </c>
      <c r="AC70" s="459">
        <f>N70</f>
        <v>2.4E-2</v>
      </c>
      <c r="AD70" s="450"/>
      <c r="AE70" s="450"/>
      <c r="AF70" s="462"/>
      <c r="AG70" s="450"/>
      <c r="AH70" s="450"/>
      <c r="AI70" s="450"/>
    </row>
    <row r="71" spans="1:35" ht="15.6" x14ac:dyDescent="0.3">
      <c r="A71" s="467" t="s">
        <v>333</v>
      </c>
      <c r="B71" s="464"/>
      <c r="C71" s="465"/>
      <c r="D71" s="464"/>
      <c r="E71" s="465"/>
      <c r="F71" s="464"/>
      <c r="G71" s="465"/>
      <c r="H71" s="464"/>
      <c r="I71" s="465"/>
      <c r="J71" s="464"/>
      <c r="K71" s="465"/>
      <c r="L71" s="464"/>
      <c r="M71" s="465"/>
      <c r="N71" s="464"/>
      <c r="O71" s="465"/>
      <c r="P71" s="464"/>
      <c r="Q71" s="464"/>
      <c r="R71" s="464"/>
      <c r="S71" s="464"/>
      <c r="T71" s="464">
        <v>5.2999999999999999E-2</v>
      </c>
      <c r="U71" s="457">
        <f t="shared" si="7"/>
        <v>5.2999999999999999E-2</v>
      </c>
      <c r="V71" s="458"/>
      <c r="W71" s="459"/>
      <c r="X71" s="459"/>
      <c r="Y71" s="459"/>
      <c r="Z71" s="459"/>
      <c r="AA71" s="459"/>
      <c r="AB71" s="459"/>
      <c r="AC71" s="459"/>
      <c r="AD71" s="450"/>
      <c r="AE71" s="450"/>
      <c r="AF71" s="450"/>
      <c r="AG71" s="450"/>
      <c r="AH71" s="462">
        <f>U71</f>
        <v>5.2999999999999999E-2</v>
      </c>
      <c r="AI71" s="450"/>
    </row>
    <row r="72" spans="1:35" ht="15.6" x14ac:dyDescent="0.3">
      <c r="A72" s="467" t="s">
        <v>334</v>
      </c>
      <c r="B72" s="473">
        <f t="shared" ref="B72:T72" si="8">SUM(B63:B71)</f>
        <v>24.819120490404742</v>
      </c>
      <c r="C72" s="474">
        <f t="shared" si="8"/>
        <v>7.5778117802436773</v>
      </c>
      <c r="D72" s="473">
        <f t="shared" si="8"/>
        <v>46.364905082566985</v>
      </c>
      <c r="E72" s="474">
        <f t="shared" si="8"/>
        <v>1.9539127863856531E-2</v>
      </c>
      <c r="F72" s="473">
        <f t="shared" si="8"/>
        <v>35.396000000000001</v>
      </c>
      <c r="G72" s="474">
        <f t="shared" si="8"/>
        <v>0</v>
      </c>
      <c r="H72" s="473">
        <f t="shared" si="8"/>
        <v>29.803769593143365</v>
      </c>
      <c r="I72" s="474">
        <f t="shared" si="8"/>
        <v>0.50367205885706157</v>
      </c>
      <c r="J72" s="473">
        <f t="shared" si="8"/>
        <v>29.950764801441327</v>
      </c>
      <c r="K72" s="474">
        <f t="shared" si="8"/>
        <v>0.16630296611699324</v>
      </c>
      <c r="L72" s="473">
        <f t="shared" si="8"/>
        <v>23.961212123990101</v>
      </c>
      <c r="M72" s="474">
        <f t="shared" si="8"/>
        <v>1.0174702468501939E-2</v>
      </c>
      <c r="N72" s="473">
        <f t="shared" si="8"/>
        <v>4.4896997459277808</v>
      </c>
      <c r="O72" s="474">
        <f t="shared" si="8"/>
        <v>6.0662489791641905E-3</v>
      </c>
      <c r="P72" s="473">
        <f t="shared" si="8"/>
        <v>3.1969999999999996</v>
      </c>
      <c r="Q72" s="473">
        <f t="shared" si="8"/>
        <v>0.57399999999999984</v>
      </c>
      <c r="R72" s="473">
        <f t="shared" si="8"/>
        <v>0.90400000000000003</v>
      </c>
      <c r="S72" s="473">
        <f t="shared" si="8"/>
        <v>0.17200000000000001</v>
      </c>
      <c r="T72" s="473">
        <f t="shared" si="8"/>
        <v>18.814999999999994</v>
      </c>
      <c r="U72" s="457">
        <f t="shared" si="7"/>
        <v>218.44747183747432</v>
      </c>
      <c r="V72" s="458"/>
      <c r="W72" s="459"/>
      <c r="X72" s="459"/>
      <c r="Y72" s="459"/>
      <c r="Z72" s="459"/>
      <c r="AA72" s="459"/>
      <c r="AB72" s="459"/>
      <c r="AC72" s="459"/>
      <c r="AD72" s="450"/>
      <c r="AE72" s="450"/>
      <c r="AF72" s="450"/>
      <c r="AG72" s="450"/>
      <c r="AH72" s="450"/>
      <c r="AI72" s="450"/>
    </row>
    <row r="73" spans="1:35" ht="15.6" x14ac:dyDescent="0.3">
      <c r="A73" s="463"/>
      <c r="B73" s="464"/>
      <c r="C73" s="465"/>
      <c r="D73" s="464"/>
      <c r="E73" s="465"/>
      <c r="F73" s="464"/>
      <c r="G73" s="465"/>
      <c r="H73" s="464"/>
      <c r="I73" s="465"/>
      <c r="J73" s="464"/>
      <c r="K73" s="465"/>
      <c r="L73" s="464"/>
      <c r="M73" s="465"/>
      <c r="N73" s="464"/>
      <c r="O73" s="465"/>
      <c r="P73" s="464"/>
      <c r="Q73" s="464"/>
      <c r="R73" s="464"/>
      <c r="S73" s="464"/>
      <c r="T73" s="464"/>
      <c r="U73" s="454"/>
      <c r="V73" s="448"/>
      <c r="W73" s="449"/>
      <c r="X73" s="449"/>
      <c r="Y73" s="449"/>
      <c r="Z73" s="449"/>
      <c r="AA73" s="449"/>
      <c r="AB73" s="449"/>
      <c r="AC73" s="449"/>
      <c r="AD73" s="450"/>
      <c r="AE73" s="450"/>
      <c r="AF73" s="450"/>
      <c r="AG73" s="450"/>
      <c r="AH73" s="450"/>
      <c r="AI73" s="450"/>
    </row>
    <row r="74" spans="1:35" ht="15.6" x14ac:dyDescent="0.3">
      <c r="A74" s="451" t="s">
        <v>335</v>
      </c>
      <c r="B74" s="452"/>
      <c r="C74" s="453"/>
      <c r="D74" s="452"/>
      <c r="E74" s="453"/>
      <c r="F74" s="452"/>
      <c r="G74" s="453"/>
      <c r="H74" s="452"/>
      <c r="I74" s="453"/>
      <c r="J74" s="452"/>
      <c r="K74" s="453"/>
      <c r="L74" s="452"/>
      <c r="M74" s="453"/>
      <c r="N74" s="452"/>
      <c r="O74" s="453"/>
      <c r="P74" s="452"/>
      <c r="Q74" s="452"/>
      <c r="R74" s="452"/>
      <c r="S74" s="452"/>
      <c r="T74" s="452"/>
      <c r="U74" s="457">
        <f t="shared" ref="U74:U100" si="9">B74+D74+F74+H74+J74+L74+N74+P74+Q74+R74+S74+T74</f>
        <v>0</v>
      </c>
      <c r="V74" s="458"/>
      <c r="W74" s="459"/>
      <c r="X74" s="459"/>
      <c r="Y74" s="459"/>
      <c r="Z74" s="459"/>
      <c r="AA74" s="459"/>
      <c r="AB74" s="459"/>
      <c r="AC74" s="459"/>
      <c r="AD74" s="450"/>
      <c r="AE74" s="450"/>
      <c r="AF74" s="450"/>
      <c r="AG74" s="450"/>
      <c r="AH74" s="450"/>
      <c r="AI74" s="450"/>
    </row>
    <row r="75" spans="1:35" ht="15.6" x14ac:dyDescent="0.3">
      <c r="A75" s="455" t="s">
        <v>306</v>
      </c>
      <c r="B75" s="456">
        <f>2.419-0.711</f>
        <v>1.7080000000000002</v>
      </c>
      <c r="C75" s="453">
        <v>0.71106504999999998</v>
      </c>
      <c r="D75" s="456">
        <f>0.211-0.076</f>
        <v>0.13500000000000001</v>
      </c>
      <c r="E75" s="453">
        <v>7.6347332949513486E-2</v>
      </c>
      <c r="F75" s="452">
        <v>2.1000000000000001E-2</v>
      </c>
      <c r="G75" s="453">
        <v>0</v>
      </c>
      <c r="H75" s="456">
        <f>0.168-0.098</f>
        <v>7.0000000000000007E-2</v>
      </c>
      <c r="I75" s="453">
        <v>9.8280000000000006E-2</v>
      </c>
      <c r="J75" s="456">
        <f>0.165-0.133</f>
        <v>3.2000000000000001E-2</v>
      </c>
      <c r="K75" s="453">
        <v>0.13320383208399947</v>
      </c>
      <c r="L75" s="456">
        <f>1.265-0.015</f>
        <v>1.25</v>
      </c>
      <c r="M75" s="453">
        <v>1.537753718357826E-2</v>
      </c>
      <c r="N75" s="456">
        <f>0.096-0.002</f>
        <v>9.4E-2</v>
      </c>
      <c r="O75" s="453">
        <v>2.1649066988838617E-3</v>
      </c>
      <c r="P75" s="452"/>
      <c r="Q75" s="452"/>
      <c r="R75" s="452"/>
      <c r="S75" s="452"/>
      <c r="T75" s="452"/>
      <c r="U75" s="457">
        <f t="shared" si="9"/>
        <v>3.31</v>
      </c>
      <c r="V75" s="458"/>
      <c r="W75" s="459">
        <f>U75</f>
        <v>3.31</v>
      </c>
      <c r="X75" s="459"/>
      <c r="Y75" s="459"/>
      <c r="Z75" s="459"/>
      <c r="AA75" s="459"/>
      <c r="AB75" s="459"/>
      <c r="AC75" s="459"/>
      <c r="AD75" s="450"/>
      <c r="AE75" s="450"/>
      <c r="AF75" s="450"/>
      <c r="AG75" s="450"/>
      <c r="AH75" s="450"/>
      <c r="AI75" s="450"/>
    </row>
    <row r="76" spans="1:35" ht="15.6" x14ac:dyDescent="0.3">
      <c r="A76" s="455" t="s">
        <v>289</v>
      </c>
      <c r="B76" s="452">
        <v>0</v>
      </c>
      <c r="C76" s="453">
        <v>0</v>
      </c>
      <c r="D76" s="452">
        <v>0</v>
      </c>
      <c r="E76" s="453"/>
      <c r="F76" s="452">
        <v>0</v>
      </c>
      <c r="G76" s="453"/>
      <c r="H76" s="452">
        <v>0</v>
      </c>
      <c r="I76" s="453"/>
      <c r="J76" s="452">
        <v>0</v>
      </c>
      <c r="K76" s="453"/>
      <c r="L76" s="452">
        <v>0</v>
      </c>
      <c r="M76" s="453"/>
      <c r="N76" s="452">
        <v>0</v>
      </c>
      <c r="O76" s="453"/>
      <c r="P76" s="452"/>
      <c r="Q76" s="452"/>
      <c r="R76" s="452"/>
      <c r="S76" s="452"/>
      <c r="T76" s="452"/>
      <c r="U76" s="457">
        <f t="shared" si="9"/>
        <v>0</v>
      </c>
      <c r="V76" s="458"/>
      <c r="W76" s="459"/>
      <c r="X76" s="459">
        <f>U76</f>
        <v>0</v>
      </c>
      <c r="Y76" s="459"/>
      <c r="Z76" s="459"/>
      <c r="AA76" s="459"/>
      <c r="AB76" s="459"/>
      <c r="AC76" s="459"/>
      <c r="AD76" s="450"/>
      <c r="AE76" s="450"/>
      <c r="AF76" s="450"/>
      <c r="AG76" s="450"/>
      <c r="AH76" s="450"/>
      <c r="AI76" s="450"/>
    </row>
    <row r="77" spans="1:35" ht="15.6" x14ac:dyDescent="0.3">
      <c r="A77" s="455" t="s">
        <v>290</v>
      </c>
      <c r="B77" s="452">
        <v>0</v>
      </c>
      <c r="C77" s="453">
        <v>0</v>
      </c>
      <c r="D77" s="452">
        <v>0</v>
      </c>
      <c r="E77" s="453"/>
      <c r="F77" s="452">
        <v>0.44600000000000001</v>
      </c>
      <c r="G77" s="453"/>
      <c r="H77" s="452">
        <v>0</v>
      </c>
      <c r="I77" s="453"/>
      <c r="J77" s="452">
        <v>0</v>
      </c>
      <c r="K77" s="453"/>
      <c r="L77" s="452">
        <v>0</v>
      </c>
      <c r="M77" s="453"/>
      <c r="N77" s="452">
        <v>0</v>
      </c>
      <c r="O77" s="453"/>
      <c r="P77" s="452"/>
      <c r="Q77" s="452"/>
      <c r="R77" s="452"/>
      <c r="S77" s="452"/>
      <c r="T77" s="452"/>
      <c r="U77" s="457">
        <f t="shared" si="9"/>
        <v>0.44600000000000001</v>
      </c>
      <c r="V77" s="458"/>
      <c r="W77" s="459"/>
      <c r="X77" s="459"/>
      <c r="Y77" s="459">
        <f>U77</f>
        <v>0.44600000000000001</v>
      </c>
      <c r="Z77" s="459"/>
      <c r="AA77" s="459"/>
      <c r="AB77" s="459"/>
      <c r="AC77" s="459"/>
      <c r="AD77" s="450"/>
      <c r="AE77" s="450"/>
      <c r="AF77" s="450"/>
      <c r="AG77" s="450"/>
      <c r="AH77" s="450"/>
      <c r="AI77" s="450"/>
    </row>
    <row r="78" spans="1:35" ht="15.6" x14ac:dyDescent="0.3">
      <c r="A78" s="455" t="s">
        <v>291</v>
      </c>
      <c r="B78" s="456">
        <f>0.479-0.141</f>
        <v>0.33799999999999997</v>
      </c>
      <c r="C78" s="453">
        <v>0.14080204999999998</v>
      </c>
      <c r="D78" s="452">
        <v>1.337</v>
      </c>
      <c r="E78" s="453"/>
      <c r="F78" s="452">
        <v>5.7000000000000002E-2</v>
      </c>
      <c r="G78" s="453"/>
      <c r="H78" s="460">
        <f>1.675</f>
        <v>1.675</v>
      </c>
      <c r="I78" s="453"/>
      <c r="J78" s="456">
        <f>0.734+0.141</f>
        <v>0.875</v>
      </c>
      <c r="K78" s="453"/>
      <c r="L78" s="452">
        <v>0.254</v>
      </c>
      <c r="M78" s="453"/>
      <c r="N78" s="452">
        <v>9.2999999999999999E-2</v>
      </c>
      <c r="O78" s="453"/>
      <c r="P78" s="452"/>
      <c r="Q78" s="452"/>
      <c r="R78" s="452"/>
      <c r="S78" s="452"/>
      <c r="T78" s="452"/>
      <c r="U78" s="457">
        <f t="shared" si="9"/>
        <v>4.6289999999999996</v>
      </c>
      <c r="V78" s="458"/>
      <c r="W78" s="459"/>
      <c r="X78" s="459"/>
      <c r="Y78" s="459"/>
      <c r="Z78" s="459">
        <f>U78</f>
        <v>4.6289999999999996</v>
      </c>
      <c r="AA78" s="459"/>
      <c r="AB78" s="459"/>
      <c r="AC78" s="459"/>
      <c r="AD78" s="450"/>
      <c r="AE78" s="450"/>
      <c r="AF78" s="450"/>
      <c r="AG78" s="450"/>
      <c r="AH78" s="450"/>
      <c r="AI78" s="450"/>
    </row>
    <row r="79" spans="1:35" ht="15.6" x14ac:dyDescent="0.3">
      <c r="A79" s="455" t="s">
        <v>292</v>
      </c>
      <c r="B79" s="452">
        <v>0</v>
      </c>
      <c r="C79" s="453">
        <v>0</v>
      </c>
      <c r="D79" s="456">
        <v>7.5999999999999998E-2</v>
      </c>
      <c r="E79" s="453"/>
      <c r="F79" s="452">
        <v>0</v>
      </c>
      <c r="G79" s="453"/>
      <c r="H79" s="456">
        <f>0.098</f>
        <v>9.8000000000000004E-2</v>
      </c>
      <c r="I79" s="453"/>
      <c r="J79" s="456">
        <f>0.711+0.133</f>
        <v>0.84399999999999997</v>
      </c>
      <c r="K79" s="453"/>
      <c r="L79" s="456">
        <v>1.4999999999999999E-2</v>
      </c>
      <c r="M79" s="453"/>
      <c r="N79" s="456">
        <v>2E-3</v>
      </c>
      <c r="O79" s="453"/>
      <c r="P79" s="452"/>
      <c r="Q79" s="452"/>
      <c r="R79" s="452"/>
      <c r="S79" s="452"/>
      <c r="T79" s="452"/>
      <c r="U79" s="457">
        <f t="shared" si="9"/>
        <v>1.0349999999999999</v>
      </c>
      <c r="V79" s="458"/>
      <c r="W79" s="459"/>
      <c r="X79" s="459"/>
      <c r="Y79" s="459"/>
      <c r="Z79" s="459"/>
      <c r="AA79" s="459">
        <f>U79</f>
        <v>1.0349999999999999</v>
      </c>
      <c r="AB79" s="459"/>
      <c r="AC79" s="459"/>
      <c r="AD79" s="450"/>
      <c r="AE79" s="450"/>
      <c r="AF79" s="450"/>
      <c r="AG79" s="450"/>
      <c r="AH79" s="450"/>
      <c r="AI79" s="450"/>
    </row>
    <row r="80" spans="1:35" ht="15.6" x14ac:dyDescent="0.3">
      <c r="A80" s="455" t="s">
        <v>293</v>
      </c>
      <c r="B80" s="452">
        <v>0</v>
      </c>
      <c r="C80" s="453">
        <v>0</v>
      </c>
      <c r="D80" s="452">
        <v>0</v>
      </c>
      <c r="E80" s="453"/>
      <c r="F80" s="452">
        <v>0</v>
      </c>
      <c r="G80" s="453"/>
      <c r="H80" s="452">
        <v>0</v>
      </c>
      <c r="I80" s="453"/>
      <c r="J80" s="452">
        <v>0</v>
      </c>
      <c r="K80" s="453"/>
      <c r="L80" s="452">
        <v>9.9000000000000005E-2</v>
      </c>
      <c r="M80" s="453"/>
      <c r="N80" s="452">
        <v>0</v>
      </c>
      <c r="O80" s="453"/>
      <c r="P80" s="452"/>
      <c r="Q80" s="452"/>
      <c r="R80" s="452"/>
      <c r="S80" s="452"/>
      <c r="T80" s="452"/>
      <c r="U80" s="457">
        <f t="shared" si="9"/>
        <v>9.9000000000000005E-2</v>
      </c>
      <c r="V80" s="458"/>
      <c r="W80" s="459"/>
      <c r="X80" s="459"/>
      <c r="Y80" s="459"/>
      <c r="Z80" s="459"/>
      <c r="AA80" s="459"/>
      <c r="AB80" s="459">
        <f>U80</f>
        <v>9.9000000000000005E-2</v>
      </c>
      <c r="AC80" s="459"/>
      <c r="AD80" s="450"/>
      <c r="AE80" s="450"/>
      <c r="AF80" s="450"/>
      <c r="AG80" s="450"/>
      <c r="AH80" s="450"/>
      <c r="AI80" s="450"/>
    </row>
    <row r="81" spans="1:35" ht="15.6" x14ac:dyDescent="0.3">
      <c r="A81" s="455" t="s">
        <v>294</v>
      </c>
      <c r="B81" s="452">
        <v>0</v>
      </c>
      <c r="C81" s="453">
        <v>0</v>
      </c>
      <c r="D81" s="452">
        <v>0</v>
      </c>
      <c r="E81" s="453"/>
      <c r="F81" s="452">
        <v>0</v>
      </c>
      <c r="G81" s="453"/>
      <c r="H81" s="452">
        <v>0</v>
      </c>
      <c r="I81" s="453"/>
      <c r="J81" s="452">
        <v>0</v>
      </c>
      <c r="K81" s="453"/>
      <c r="L81" s="452">
        <v>0</v>
      </c>
      <c r="M81" s="453"/>
      <c r="N81" s="452">
        <v>0</v>
      </c>
      <c r="O81" s="453"/>
      <c r="P81" s="452"/>
      <c r="Q81" s="452"/>
      <c r="R81" s="452"/>
      <c r="S81" s="452"/>
      <c r="T81" s="452"/>
      <c r="U81" s="457">
        <f t="shared" si="9"/>
        <v>0</v>
      </c>
      <c r="V81" s="458"/>
      <c r="W81" s="459"/>
      <c r="X81" s="459"/>
      <c r="Y81" s="459"/>
      <c r="Z81" s="459"/>
      <c r="AA81" s="459"/>
      <c r="AB81" s="459"/>
      <c r="AC81" s="459">
        <f>U81</f>
        <v>0</v>
      </c>
      <c r="AD81" s="450"/>
      <c r="AE81" s="450"/>
      <c r="AF81" s="450"/>
      <c r="AG81" s="450"/>
      <c r="AH81" s="450"/>
      <c r="AI81" s="450"/>
    </row>
    <row r="82" spans="1:35" ht="15.6" x14ac:dyDescent="0.3">
      <c r="A82" s="455" t="s">
        <v>300</v>
      </c>
      <c r="B82" s="456">
        <f>0.227-0.067</f>
        <v>0.16</v>
      </c>
      <c r="C82" s="453">
        <v>6.6726649999999998E-2</v>
      </c>
      <c r="D82" s="452">
        <v>0.36309999999999998</v>
      </c>
      <c r="E82" s="453"/>
      <c r="F82" s="452">
        <v>0</v>
      </c>
      <c r="G82" s="453"/>
      <c r="H82" s="452">
        <v>0.28790000000000004</v>
      </c>
      <c r="I82" s="453"/>
      <c r="J82" s="456">
        <f>0.1867+0.067</f>
        <v>0.25370000000000004</v>
      </c>
      <c r="K82" s="453"/>
      <c r="L82" s="452">
        <v>0.1305</v>
      </c>
      <c r="M82" s="453"/>
      <c r="N82" s="452">
        <v>5.3599999999999995E-2</v>
      </c>
      <c r="O82" s="453"/>
      <c r="P82" s="452"/>
      <c r="Q82" s="452"/>
      <c r="R82" s="452"/>
      <c r="S82" s="452"/>
      <c r="T82" s="452"/>
      <c r="U82" s="457">
        <f t="shared" si="9"/>
        <v>1.2488000000000004</v>
      </c>
      <c r="V82" s="458"/>
      <c r="W82" s="459"/>
      <c r="X82" s="459"/>
      <c r="Y82" s="459"/>
      <c r="Z82" s="459"/>
      <c r="AA82" s="459"/>
      <c r="AB82" s="459"/>
      <c r="AC82" s="459"/>
      <c r="AD82" s="462">
        <f>U82</f>
        <v>1.2488000000000004</v>
      </c>
      <c r="AE82" s="450"/>
      <c r="AF82" s="450"/>
      <c r="AG82" s="450"/>
      <c r="AH82" s="450"/>
      <c r="AI82" s="450"/>
    </row>
    <row r="83" spans="1:35" ht="15.6" x14ac:dyDescent="0.3">
      <c r="A83" s="455" t="s">
        <v>302</v>
      </c>
      <c r="B83" s="456">
        <f>1.728-0.508</f>
        <v>1.22</v>
      </c>
      <c r="C83" s="453">
        <v>0.50794559999999989</v>
      </c>
      <c r="D83" s="452">
        <v>2.0579999999999998</v>
      </c>
      <c r="E83" s="453"/>
      <c r="F83" s="452">
        <v>3.177</v>
      </c>
      <c r="G83" s="453"/>
      <c r="H83" s="452">
        <v>1.476</v>
      </c>
      <c r="I83" s="453"/>
      <c r="J83" s="456">
        <f>1.119+0.508</f>
        <v>1.627</v>
      </c>
      <c r="K83" s="453"/>
      <c r="L83" s="452">
        <v>1.6920000000000002</v>
      </c>
      <c r="M83" s="453"/>
      <c r="N83" s="452">
        <v>0.91399999999999992</v>
      </c>
      <c r="O83" s="453"/>
      <c r="P83" s="452"/>
      <c r="Q83" s="452"/>
      <c r="R83" s="452"/>
      <c r="S83" s="452"/>
      <c r="T83" s="452"/>
      <c r="U83" s="457">
        <f t="shared" si="9"/>
        <v>12.164</v>
      </c>
      <c r="V83" s="458"/>
      <c r="W83" s="459"/>
      <c r="X83" s="459"/>
      <c r="Y83" s="459"/>
      <c r="Z83" s="459"/>
      <c r="AA83" s="459"/>
      <c r="AB83" s="459"/>
      <c r="AC83" s="459"/>
      <c r="AD83" s="450"/>
      <c r="AE83" s="450"/>
      <c r="AF83" s="462">
        <f>U83</f>
        <v>12.164</v>
      </c>
      <c r="AG83" s="450"/>
      <c r="AH83" s="450"/>
      <c r="AI83" s="450"/>
    </row>
    <row r="84" spans="1:35" ht="15.6" x14ac:dyDescent="0.3">
      <c r="A84" s="455" t="s">
        <v>303</v>
      </c>
      <c r="B84" s="452">
        <v>0</v>
      </c>
      <c r="C84" s="453">
        <v>0</v>
      </c>
      <c r="D84" s="452">
        <v>0</v>
      </c>
      <c r="E84" s="453"/>
      <c r="F84" s="452">
        <v>0</v>
      </c>
      <c r="G84" s="453"/>
      <c r="H84" s="452">
        <v>0</v>
      </c>
      <c r="I84" s="453"/>
      <c r="J84" s="452">
        <v>0</v>
      </c>
      <c r="K84" s="453"/>
      <c r="L84" s="452">
        <v>0</v>
      </c>
      <c r="M84" s="453"/>
      <c r="N84" s="452">
        <v>0</v>
      </c>
      <c r="O84" s="453"/>
      <c r="P84" s="452"/>
      <c r="Q84" s="452"/>
      <c r="R84" s="452"/>
      <c r="S84" s="452"/>
      <c r="T84" s="452"/>
      <c r="U84" s="457">
        <f t="shared" si="9"/>
        <v>0</v>
      </c>
      <c r="V84" s="458"/>
      <c r="W84" s="459"/>
      <c r="X84" s="459"/>
      <c r="Y84" s="459"/>
      <c r="Z84" s="459"/>
      <c r="AA84" s="459"/>
      <c r="AB84" s="459"/>
      <c r="AC84" s="459"/>
      <c r="AD84" s="450"/>
      <c r="AE84" s="450"/>
      <c r="AF84" s="450"/>
      <c r="AG84" s="450"/>
      <c r="AH84" s="450"/>
      <c r="AI84" s="450"/>
    </row>
    <row r="85" spans="1:35" ht="15.6" x14ac:dyDescent="0.3">
      <c r="A85" s="463" t="s">
        <v>307</v>
      </c>
      <c r="B85" s="464">
        <f>SUM(B75:B84)</f>
        <v>3.4260000000000002</v>
      </c>
      <c r="C85" s="465">
        <f t="shared" ref="C85:T85" si="10">SUM(C75:C84)</f>
        <v>1.4265393499999999</v>
      </c>
      <c r="D85" s="464">
        <f t="shared" si="10"/>
        <v>3.9691000000000001</v>
      </c>
      <c r="E85" s="465">
        <f t="shared" si="10"/>
        <v>7.6347332949513486E-2</v>
      </c>
      <c r="F85" s="464">
        <f t="shared" si="10"/>
        <v>3.7010000000000001</v>
      </c>
      <c r="G85" s="465">
        <f t="shared" si="10"/>
        <v>0</v>
      </c>
      <c r="H85" s="464">
        <f t="shared" si="10"/>
        <v>3.6069000000000004</v>
      </c>
      <c r="I85" s="465">
        <f t="shared" si="10"/>
        <v>9.8280000000000006E-2</v>
      </c>
      <c r="J85" s="464">
        <f t="shared" si="10"/>
        <v>3.6316999999999995</v>
      </c>
      <c r="K85" s="465">
        <f t="shared" si="10"/>
        <v>0.13320383208399947</v>
      </c>
      <c r="L85" s="464">
        <f t="shared" si="10"/>
        <v>3.4405000000000001</v>
      </c>
      <c r="M85" s="465">
        <f t="shared" si="10"/>
        <v>1.537753718357826E-2</v>
      </c>
      <c r="N85" s="464">
        <f t="shared" si="10"/>
        <v>1.1565999999999999</v>
      </c>
      <c r="O85" s="465">
        <f t="shared" si="10"/>
        <v>2.1649066988838617E-3</v>
      </c>
      <c r="P85" s="464">
        <f t="shared" si="10"/>
        <v>0</v>
      </c>
      <c r="Q85" s="464">
        <f t="shared" si="10"/>
        <v>0</v>
      </c>
      <c r="R85" s="464">
        <f t="shared" si="10"/>
        <v>0</v>
      </c>
      <c r="S85" s="464">
        <f t="shared" si="10"/>
        <v>0</v>
      </c>
      <c r="T85" s="464">
        <f t="shared" si="10"/>
        <v>0</v>
      </c>
      <c r="U85" s="457">
        <f t="shared" si="9"/>
        <v>22.931799999999999</v>
      </c>
      <c r="V85" s="458"/>
      <c r="W85" s="459"/>
      <c r="X85" s="459"/>
      <c r="Y85" s="459"/>
      <c r="Z85" s="459"/>
      <c r="AA85" s="459"/>
      <c r="AB85" s="459"/>
      <c r="AC85" s="459"/>
      <c r="AD85" s="450"/>
      <c r="AE85" s="450"/>
      <c r="AF85" s="450"/>
      <c r="AG85" s="450"/>
      <c r="AH85" s="450"/>
      <c r="AI85" s="450"/>
    </row>
    <row r="86" spans="1:35" ht="15.6" x14ac:dyDescent="0.3">
      <c r="A86" s="463" t="s">
        <v>308</v>
      </c>
      <c r="B86" s="452"/>
      <c r="C86" s="453"/>
      <c r="D86" s="452"/>
      <c r="E86" s="453"/>
      <c r="F86" s="452"/>
      <c r="G86" s="453"/>
      <c r="H86" s="452"/>
      <c r="I86" s="453"/>
      <c r="J86" s="452"/>
      <c r="K86" s="453"/>
      <c r="L86" s="452"/>
      <c r="M86" s="453"/>
      <c r="N86" s="452"/>
      <c r="O86" s="453"/>
      <c r="P86" s="452"/>
      <c r="Q86" s="452"/>
      <c r="R86" s="452"/>
      <c r="S86" s="452"/>
      <c r="T86" s="452"/>
      <c r="U86" s="457">
        <f t="shared" si="9"/>
        <v>0</v>
      </c>
      <c r="V86" s="458"/>
      <c r="W86" s="459"/>
      <c r="X86" s="459"/>
      <c r="Y86" s="459"/>
      <c r="Z86" s="459"/>
      <c r="AA86" s="459"/>
      <c r="AB86" s="459"/>
      <c r="AC86" s="459"/>
      <c r="AD86" s="450"/>
      <c r="AE86" s="450"/>
      <c r="AF86" s="450"/>
      <c r="AG86" s="450"/>
      <c r="AH86" s="450"/>
      <c r="AI86" s="450"/>
    </row>
    <row r="87" spans="1:35" ht="15.6" x14ac:dyDescent="0.3">
      <c r="A87" s="455" t="s">
        <v>309</v>
      </c>
      <c r="B87" s="456">
        <f>0.015482-0.004</f>
        <v>1.1481999999999999E-2</v>
      </c>
      <c r="C87" s="453">
        <v>4.3379344030422713E-3</v>
      </c>
      <c r="D87" s="452">
        <v>6.9154999999999994E-2</v>
      </c>
      <c r="E87" s="453"/>
      <c r="F87" s="452">
        <v>0</v>
      </c>
      <c r="G87" s="453"/>
      <c r="H87" s="452">
        <v>4.9888000000000002E-2</v>
      </c>
      <c r="I87" s="453"/>
      <c r="J87" s="456">
        <f>0.030964+0.004</f>
        <v>3.4963999999999995E-2</v>
      </c>
      <c r="K87" s="453"/>
      <c r="L87" s="452">
        <v>3.784E-3</v>
      </c>
      <c r="M87" s="453"/>
      <c r="N87" s="452">
        <v>3.784E-3</v>
      </c>
      <c r="O87" s="453"/>
      <c r="P87" s="452"/>
      <c r="Q87" s="452"/>
      <c r="R87" s="452"/>
      <c r="S87" s="452"/>
      <c r="T87" s="452"/>
      <c r="U87" s="454">
        <f t="shared" si="9"/>
        <v>0.17305700000000002</v>
      </c>
      <c r="V87" s="448"/>
      <c r="W87" s="459"/>
      <c r="X87" s="459"/>
      <c r="Y87" s="459"/>
      <c r="Z87" s="459"/>
      <c r="AA87" s="459"/>
      <c r="AB87" s="459"/>
      <c r="AC87" s="459"/>
      <c r="AD87" s="462">
        <f>U87</f>
        <v>0.17305700000000002</v>
      </c>
      <c r="AE87" s="450"/>
      <c r="AF87" s="450"/>
      <c r="AG87" s="450"/>
      <c r="AH87" s="450"/>
      <c r="AI87" s="450"/>
    </row>
    <row r="88" spans="1:35" ht="30.6" x14ac:dyDescent="0.3">
      <c r="A88" s="466" t="s">
        <v>336</v>
      </c>
      <c r="B88" s="456">
        <f>-0.00482571898439694+0.001</f>
        <v>-3.8257189843969404E-3</v>
      </c>
      <c r="C88" s="453">
        <v>-1.3521284331371706E-3</v>
      </c>
      <c r="D88" s="452">
        <v>-7.7190245076410886E-3</v>
      </c>
      <c r="E88" s="453"/>
      <c r="F88" s="452">
        <v>0</v>
      </c>
      <c r="G88" s="453"/>
      <c r="H88" s="452">
        <v>-6.12037222734748E-3</v>
      </c>
      <c r="I88" s="453"/>
      <c r="J88" s="456">
        <f>-0.00396899442461193-0.001</f>
        <v>-4.9689944246119298E-3</v>
      </c>
      <c r="K88" s="453"/>
      <c r="L88" s="452">
        <v>-2.7742569491797358E-3</v>
      </c>
      <c r="M88" s="453"/>
      <c r="N88" s="452">
        <v>-1.1394649231879987E-3</v>
      </c>
      <c r="O88" s="453"/>
      <c r="P88" s="452"/>
      <c r="Q88" s="452"/>
      <c r="R88" s="452"/>
      <c r="S88" s="452"/>
      <c r="T88" s="452"/>
      <c r="U88" s="457">
        <f t="shared" si="9"/>
        <v>-2.6547832016365173E-2</v>
      </c>
      <c r="V88" s="458"/>
      <c r="W88" s="459"/>
      <c r="X88" s="459"/>
      <c r="Y88" s="459"/>
      <c r="Z88" s="459"/>
      <c r="AA88" s="459"/>
      <c r="AB88" s="459"/>
      <c r="AC88" s="459"/>
      <c r="AD88" s="462">
        <f>U88</f>
        <v>-2.6547832016365173E-2</v>
      </c>
      <c r="AE88" s="450"/>
      <c r="AF88" s="450"/>
      <c r="AG88" s="450"/>
      <c r="AH88" s="450"/>
      <c r="AI88" s="450"/>
    </row>
    <row r="89" spans="1:35" ht="30.6" x14ac:dyDescent="0.3">
      <c r="A89" s="466" t="s">
        <v>337</v>
      </c>
      <c r="B89" s="456">
        <f>0.0142058533377179-0.004</f>
        <v>1.02058533377179E-2</v>
      </c>
      <c r="C89" s="453">
        <v>3.980368164207413E-3</v>
      </c>
      <c r="D89" s="452">
        <v>1.6918776718184807E-2</v>
      </c>
      <c r="E89" s="453"/>
      <c r="F89" s="452">
        <v>2.6118053271950017E-2</v>
      </c>
      <c r="G89" s="453"/>
      <c r="H89" s="452">
        <v>1.2134166392634003E-2</v>
      </c>
      <c r="I89" s="453"/>
      <c r="J89" s="456">
        <f>0.00919927655376521+0.004</f>
        <v>1.319927655376521E-2</v>
      </c>
      <c r="K89" s="453"/>
      <c r="L89" s="452">
        <v>1.3909898059848736E-2</v>
      </c>
      <c r="M89" s="453"/>
      <c r="N89" s="452">
        <v>7.5139756658993756E-3</v>
      </c>
      <c r="O89" s="453"/>
      <c r="P89" s="452"/>
      <c r="Q89" s="452"/>
      <c r="R89" s="452"/>
      <c r="S89" s="452"/>
      <c r="T89" s="452"/>
      <c r="U89" s="457">
        <f t="shared" si="9"/>
        <v>0.10000000000000005</v>
      </c>
      <c r="V89" s="458"/>
      <c r="W89" s="459"/>
      <c r="X89" s="459"/>
      <c r="Y89" s="459"/>
      <c r="Z89" s="459"/>
      <c r="AA89" s="459"/>
      <c r="AB89" s="459"/>
      <c r="AC89" s="459"/>
      <c r="AD89" s="450"/>
      <c r="AE89" s="450"/>
      <c r="AF89" s="462">
        <f>U89</f>
        <v>0.10000000000000005</v>
      </c>
      <c r="AG89" s="450"/>
      <c r="AH89" s="450"/>
      <c r="AI89" s="450"/>
    </row>
    <row r="90" spans="1:35" ht="29.4" x14ac:dyDescent="0.3">
      <c r="A90" s="467" t="s">
        <v>313</v>
      </c>
      <c r="B90" s="464">
        <f>SUM(B85:B89)</f>
        <v>3.4438621343533211</v>
      </c>
      <c r="C90" s="465">
        <f t="shared" ref="C90:T90" si="11">SUM(C85:C89)</f>
        <v>1.4335055241341124</v>
      </c>
      <c r="D90" s="464">
        <f t="shared" si="11"/>
        <v>4.0474547522105437</v>
      </c>
      <c r="E90" s="465">
        <f t="shared" si="11"/>
        <v>7.6347332949513486E-2</v>
      </c>
      <c r="F90" s="464">
        <f t="shared" si="11"/>
        <v>3.7271180532719499</v>
      </c>
      <c r="G90" s="465">
        <f t="shared" si="11"/>
        <v>0</v>
      </c>
      <c r="H90" s="464">
        <f t="shared" si="11"/>
        <v>3.6628017941652873</v>
      </c>
      <c r="I90" s="465">
        <f t="shared" si="11"/>
        <v>9.8280000000000006E-2</v>
      </c>
      <c r="J90" s="464">
        <f t="shared" si="11"/>
        <v>3.674894282129153</v>
      </c>
      <c r="K90" s="465">
        <f t="shared" si="11"/>
        <v>0.13320383208399947</v>
      </c>
      <c r="L90" s="464">
        <f t="shared" si="11"/>
        <v>3.455419641110669</v>
      </c>
      <c r="M90" s="465">
        <f t="shared" si="11"/>
        <v>1.537753718357826E-2</v>
      </c>
      <c r="N90" s="464">
        <f t="shared" si="11"/>
        <v>1.1667585107427112</v>
      </c>
      <c r="O90" s="465">
        <f t="shared" si="11"/>
        <v>2.1649066988838617E-3</v>
      </c>
      <c r="P90" s="464">
        <f t="shared" si="11"/>
        <v>0</v>
      </c>
      <c r="Q90" s="464">
        <f t="shared" si="11"/>
        <v>0</v>
      </c>
      <c r="R90" s="464">
        <f t="shared" si="11"/>
        <v>0</v>
      </c>
      <c r="S90" s="464">
        <f t="shared" si="11"/>
        <v>0</v>
      </c>
      <c r="T90" s="464">
        <f t="shared" si="11"/>
        <v>0</v>
      </c>
      <c r="U90" s="457">
        <f t="shared" si="9"/>
        <v>23.178309167983635</v>
      </c>
      <c r="V90" s="458"/>
      <c r="W90" s="459"/>
      <c r="X90" s="459"/>
      <c r="Y90" s="459"/>
      <c r="Z90" s="459"/>
      <c r="AA90" s="459"/>
      <c r="AB90" s="459"/>
      <c r="AC90" s="459"/>
      <c r="AD90" s="450"/>
      <c r="AE90" s="450"/>
      <c r="AF90" s="450"/>
      <c r="AG90" s="450"/>
      <c r="AH90" s="450"/>
      <c r="AI90" s="450"/>
    </row>
    <row r="91" spans="1:35" ht="15.6" x14ac:dyDescent="0.3">
      <c r="A91" s="463" t="s">
        <v>314</v>
      </c>
      <c r="B91" s="464"/>
      <c r="C91" s="465"/>
      <c r="D91" s="464"/>
      <c r="E91" s="465"/>
      <c r="F91" s="464"/>
      <c r="G91" s="465"/>
      <c r="H91" s="464"/>
      <c r="I91" s="465"/>
      <c r="J91" s="464"/>
      <c r="K91" s="465"/>
      <c r="L91" s="464"/>
      <c r="M91" s="465"/>
      <c r="N91" s="464"/>
      <c r="O91" s="465"/>
      <c r="P91" s="464"/>
      <c r="Q91" s="464"/>
      <c r="R91" s="464"/>
      <c r="S91" s="464"/>
      <c r="T91" s="464"/>
      <c r="U91" s="457">
        <f t="shared" si="9"/>
        <v>0</v>
      </c>
      <c r="V91" s="458"/>
      <c r="W91" s="459"/>
      <c r="X91" s="459"/>
      <c r="Y91" s="459"/>
      <c r="Z91" s="459"/>
      <c r="AA91" s="459"/>
      <c r="AB91" s="459"/>
      <c r="AC91" s="459"/>
      <c r="AD91" s="450"/>
      <c r="AE91" s="450"/>
      <c r="AF91" s="450"/>
      <c r="AG91" s="450"/>
      <c r="AH91" s="450"/>
      <c r="AI91" s="450"/>
    </row>
    <row r="92" spans="1:35" ht="30.6" x14ac:dyDescent="0.3">
      <c r="A92" s="466" t="s">
        <v>338</v>
      </c>
      <c r="B92" s="456">
        <f>0.0659151594870108-0.018</f>
        <v>4.7915159487010792E-2</v>
      </c>
      <c r="C92" s="453">
        <v>1.8474295180684792E-2</v>
      </c>
      <c r="D92" s="452">
        <v>7.850312397237752E-2</v>
      </c>
      <c r="E92" s="453"/>
      <c r="F92" s="452">
        <v>0.12118776718184808</v>
      </c>
      <c r="G92" s="453"/>
      <c r="H92" s="452">
        <v>5.6302532061821772E-2</v>
      </c>
      <c r="I92" s="453"/>
      <c r="J92" s="456">
        <f>0.0426846432094706+0.018</f>
        <v>6.0684643209470604E-2</v>
      </c>
      <c r="K92" s="453"/>
      <c r="L92" s="452">
        <v>6.4541926997698132E-2</v>
      </c>
      <c r="M92" s="453"/>
      <c r="N92" s="452">
        <v>3.4864847089773103E-2</v>
      </c>
      <c r="O92" s="453"/>
      <c r="P92" s="464"/>
      <c r="Q92" s="464"/>
      <c r="R92" s="464"/>
      <c r="S92" s="464"/>
      <c r="T92" s="464"/>
      <c r="U92" s="457">
        <f t="shared" si="9"/>
        <v>0.46400000000000002</v>
      </c>
      <c r="V92" s="458"/>
      <c r="W92" s="459"/>
      <c r="X92" s="459"/>
      <c r="Y92" s="459"/>
      <c r="Z92" s="459"/>
      <c r="AA92" s="459"/>
      <c r="AB92" s="459"/>
      <c r="AC92" s="459"/>
      <c r="AD92" s="450"/>
      <c r="AE92" s="450"/>
      <c r="AF92" s="462">
        <f>U92</f>
        <v>0.46400000000000002</v>
      </c>
      <c r="AG92" s="450"/>
      <c r="AH92" s="450"/>
      <c r="AI92" s="450"/>
    </row>
    <row r="93" spans="1:35" ht="29.4" x14ac:dyDescent="0.3">
      <c r="A93" s="467" t="s">
        <v>320</v>
      </c>
      <c r="B93" s="464">
        <f>SUM(B90:B92)</f>
        <v>3.491777293840332</v>
      </c>
      <c r="C93" s="465">
        <f t="shared" ref="C93:T93" si="12">SUM(C90:C92)</f>
        <v>1.4519798193147972</v>
      </c>
      <c r="D93" s="464">
        <f t="shared" si="12"/>
        <v>4.1259578761829214</v>
      </c>
      <c r="E93" s="465">
        <f t="shared" si="12"/>
        <v>7.6347332949513486E-2</v>
      </c>
      <c r="F93" s="464">
        <f t="shared" si="12"/>
        <v>3.8483058204537981</v>
      </c>
      <c r="G93" s="465">
        <f t="shared" si="12"/>
        <v>0</v>
      </c>
      <c r="H93" s="464">
        <f t="shared" si="12"/>
        <v>3.7191043262271091</v>
      </c>
      <c r="I93" s="465">
        <f t="shared" si="12"/>
        <v>9.8280000000000006E-2</v>
      </c>
      <c r="J93" s="464">
        <f t="shared" si="12"/>
        <v>3.7355789253386238</v>
      </c>
      <c r="K93" s="465">
        <f t="shared" si="12"/>
        <v>0.13320383208399947</v>
      </c>
      <c r="L93" s="464">
        <f t="shared" si="12"/>
        <v>3.5199615681083674</v>
      </c>
      <c r="M93" s="465">
        <f t="shared" si="12"/>
        <v>1.537753718357826E-2</v>
      </c>
      <c r="N93" s="464">
        <f t="shared" si="12"/>
        <v>1.2016233578324842</v>
      </c>
      <c r="O93" s="465">
        <f t="shared" si="12"/>
        <v>2.1649066988838617E-3</v>
      </c>
      <c r="P93" s="464">
        <f t="shared" si="12"/>
        <v>0</v>
      </c>
      <c r="Q93" s="464">
        <f t="shared" si="12"/>
        <v>0</v>
      </c>
      <c r="R93" s="464">
        <f t="shared" si="12"/>
        <v>0</v>
      </c>
      <c r="S93" s="464">
        <f t="shared" si="12"/>
        <v>0</v>
      </c>
      <c r="T93" s="464">
        <f t="shared" si="12"/>
        <v>0</v>
      </c>
      <c r="U93" s="457">
        <f t="shared" si="9"/>
        <v>23.642309167983637</v>
      </c>
      <c r="V93" s="458"/>
      <c r="W93" s="459"/>
      <c r="X93" s="459"/>
      <c r="Y93" s="459"/>
      <c r="Z93" s="459"/>
      <c r="AA93" s="459"/>
      <c r="AB93" s="459"/>
      <c r="AC93" s="459"/>
      <c r="AD93" s="450"/>
      <c r="AE93" s="450"/>
      <c r="AF93" s="450"/>
      <c r="AG93" s="450"/>
      <c r="AH93" s="450"/>
      <c r="AI93" s="450"/>
    </row>
    <row r="94" spans="1:35" ht="15.6" x14ac:dyDescent="0.3">
      <c r="A94" s="463" t="s">
        <v>339</v>
      </c>
      <c r="B94" s="468"/>
      <c r="C94" s="465"/>
      <c r="D94" s="468"/>
      <c r="E94" s="465"/>
      <c r="F94" s="468"/>
      <c r="G94" s="465"/>
      <c r="H94" s="468"/>
      <c r="I94" s="465"/>
      <c r="J94" s="468"/>
      <c r="K94" s="465"/>
      <c r="L94" s="468"/>
      <c r="M94" s="465"/>
      <c r="N94" s="468"/>
      <c r="O94" s="465"/>
      <c r="P94" s="468"/>
      <c r="Q94" s="468"/>
      <c r="R94" s="468"/>
      <c r="S94" s="468"/>
      <c r="T94" s="468"/>
      <c r="U94" s="457">
        <f t="shared" si="9"/>
        <v>0</v>
      </c>
      <c r="V94" s="458"/>
      <c r="W94" s="459"/>
      <c r="X94" s="459"/>
      <c r="Y94" s="459"/>
      <c r="Z94" s="459"/>
      <c r="AA94" s="459"/>
      <c r="AB94" s="459"/>
      <c r="AC94" s="459"/>
      <c r="AD94" s="450"/>
      <c r="AE94" s="450"/>
      <c r="AF94" s="450"/>
      <c r="AG94" s="450"/>
      <c r="AH94" s="450"/>
      <c r="AI94" s="450"/>
    </row>
    <row r="95" spans="1:35" ht="15.6" x14ac:dyDescent="0.3">
      <c r="A95" s="463" t="s">
        <v>322</v>
      </c>
      <c r="B95" s="475"/>
      <c r="C95" s="476"/>
      <c r="D95" s="475"/>
      <c r="E95" s="476"/>
      <c r="F95" s="475"/>
      <c r="G95" s="476"/>
      <c r="H95" s="475"/>
      <c r="I95" s="476"/>
      <c r="J95" s="475"/>
      <c r="K95" s="476"/>
      <c r="L95" s="475"/>
      <c r="M95" s="476"/>
      <c r="N95" s="475"/>
      <c r="O95" s="476"/>
      <c r="P95" s="475"/>
      <c r="Q95" s="475"/>
      <c r="R95" s="475"/>
      <c r="S95" s="475"/>
      <c r="T95" s="475"/>
      <c r="U95" s="457">
        <f t="shared" si="9"/>
        <v>0</v>
      </c>
      <c r="V95" s="458"/>
      <c r="W95" s="459"/>
      <c r="X95" s="459"/>
      <c r="Y95" s="459"/>
      <c r="Z95" s="459"/>
      <c r="AA95" s="459"/>
      <c r="AB95" s="459"/>
      <c r="AC95" s="459"/>
      <c r="AD95" s="450"/>
      <c r="AE95" s="450"/>
      <c r="AF95" s="450"/>
      <c r="AG95" s="450"/>
      <c r="AH95" s="450"/>
      <c r="AI95" s="450"/>
    </row>
    <row r="96" spans="1:35" ht="30.6" x14ac:dyDescent="0.3">
      <c r="A96" s="466" t="s">
        <v>338</v>
      </c>
      <c r="B96" s="477">
        <f>0.312812890496547-0.088</f>
        <v>0.22481289049654699</v>
      </c>
      <c r="C96" s="478">
        <v>8.7768703134956161E-2</v>
      </c>
      <c r="D96" s="479">
        <v>0.3725514633344294</v>
      </c>
      <c r="E96" s="478"/>
      <c r="F96" s="479">
        <v>0.57511953304833929</v>
      </c>
      <c r="G96" s="478"/>
      <c r="H96" s="479">
        <v>0.26719434396580077</v>
      </c>
      <c r="I96" s="478"/>
      <c r="J96" s="477">
        <f>0.20256806971391+0.088</f>
        <v>0.29056806971391003</v>
      </c>
      <c r="K96" s="478"/>
      <c r="L96" s="479">
        <v>0.30629595527786913</v>
      </c>
      <c r="M96" s="478"/>
      <c r="N96" s="479">
        <v>0.16545774416310424</v>
      </c>
      <c r="O96" s="480"/>
      <c r="P96" s="475"/>
      <c r="Q96" s="475"/>
      <c r="R96" s="475"/>
      <c r="S96" s="475"/>
      <c r="T96" s="475"/>
      <c r="U96" s="457">
        <f t="shared" si="9"/>
        <v>2.2020000000000004</v>
      </c>
      <c r="V96" s="458"/>
      <c r="W96" s="459"/>
      <c r="X96" s="459"/>
      <c r="Y96" s="459"/>
      <c r="Z96" s="459"/>
      <c r="AA96" s="459"/>
      <c r="AB96" s="459"/>
      <c r="AC96" s="459"/>
      <c r="AD96" s="450"/>
      <c r="AE96" s="450"/>
      <c r="AF96" s="462">
        <f>U96</f>
        <v>2.2020000000000004</v>
      </c>
      <c r="AG96" s="450"/>
      <c r="AH96" s="450"/>
      <c r="AI96" s="450"/>
    </row>
    <row r="97" spans="1:35" ht="29.4" x14ac:dyDescent="0.3">
      <c r="A97" s="467" t="s">
        <v>340</v>
      </c>
      <c r="B97" s="473">
        <f>SUM(B93:B96)</f>
        <v>3.7165901843368792</v>
      </c>
      <c r="C97" s="474">
        <f t="shared" ref="C97:T97" si="13">SUM(C93:C96)</f>
        <v>1.5397485224497534</v>
      </c>
      <c r="D97" s="473">
        <f t="shared" si="13"/>
        <v>4.4985093395173505</v>
      </c>
      <c r="E97" s="474">
        <f t="shared" si="13"/>
        <v>7.6347332949513486E-2</v>
      </c>
      <c r="F97" s="473">
        <f t="shared" si="13"/>
        <v>4.4234253535021377</v>
      </c>
      <c r="G97" s="474">
        <f t="shared" si="13"/>
        <v>0</v>
      </c>
      <c r="H97" s="473">
        <f t="shared" si="13"/>
        <v>3.9862986701929097</v>
      </c>
      <c r="I97" s="474">
        <f t="shared" si="13"/>
        <v>9.8280000000000006E-2</v>
      </c>
      <c r="J97" s="473">
        <f t="shared" si="13"/>
        <v>4.0261469950525335</v>
      </c>
      <c r="K97" s="474">
        <f t="shared" si="13"/>
        <v>0.13320383208399947</v>
      </c>
      <c r="L97" s="473">
        <f t="shared" si="13"/>
        <v>3.8262575233862366</v>
      </c>
      <c r="M97" s="474">
        <f t="shared" si="13"/>
        <v>1.537753718357826E-2</v>
      </c>
      <c r="N97" s="473">
        <f t="shared" si="13"/>
        <v>1.3670811019955884</v>
      </c>
      <c r="O97" s="474">
        <f t="shared" si="13"/>
        <v>2.1649066988838617E-3</v>
      </c>
      <c r="P97" s="473">
        <f t="shared" si="13"/>
        <v>0</v>
      </c>
      <c r="Q97" s="473">
        <f t="shared" si="13"/>
        <v>0</v>
      </c>
      <c r="R97" s="473">
        <f t="shared" si="13"/>
        <v>0</v>
      </c>
      <c r="S97" s="473">
        <f t="shared" si="13"/>
        <v>0</v>
      </c>
      <c r="T97" s="473">
        <f t="shared" si="13"/>
        <v>0</v>
      </c>
      <c r="U97" s="457">
        <f t="shared" si="9"/>
        <v>25.844309167983635</v>
      </c>
      <c r="V97" s="458"/>
      <c r="W97" s="459"/>
      <c r="X97" s="459"/>
      <c r="Y97" s="459"/>
      <c r="Z97" s="459"/>
      <c r="AA97" s="459"/>
      <c r="AB97" s="459"/>
      <c r="AC97" s="459"/>
      <c r="AD97" s="450"/>
      <c r="AE97" s="450"/>
      <c r="AF97" s="450"/>
      <c r="AG97" s="450"/>
      <c r="AH97" s="450"/>
      <c r="AI97" s="450"/>
    </row>
    <row r="98" spans="1:35" ht="15.6" x14ac:dyDescent="0.3">
      <c r="A98" s="463" t="s">
        <v>341</v>
      </c>
      <c r="B98" s="475"/>
      <c r="C98" s="476"/>
      <c r="D98" s="475"/>
      <c r="E98" s="476"/>
      <c r="F98" s="475"/>
      <c r="G98" s="476"/>
      <c r="H98" s="475"/>
      <c r="I98" s="476"/>
      <c r="J98" s="475"/>
      <c r="K98" s="476"/>
      <c r="L98" s="475"/>
      <c r="M98" s="476"/>
      <c r="N98" s="475"/>
      <c r="O98" s="476"/>
      <c r="P98" s="475"/>
      <c r="Q98" s="475"/>
      <c r="R98" s="475"/>
      <c r="S98" s="475"/>
      <c r="T98" s="475"/>
      <c r="U98" s="457"/>
      <c r="V98" s="458"/>
      <c r="W98" s="459"/>
      <c r="X98" s="459"/>
      <c r="Y98" s="459"/>
      <c r="Z98" s="459"/>
      <c r="AA98" s="459"/>
      <c r="AB98" s="459"/>
      <c r="AC98" s="459"/>
      <c r="AD98" s="450"/>
      <c r="AE98" s="450"/>
      <c r="AF98" s="450"/>
      <c r="AG98" s="450"/>
      <c r="AH98" s="450"/>
      <c r="AI98" s="450"/>
    </row>
    <row r="99" spans="1:35" ht="15.6" x14ac:dyDescent="0.3">
      <c r="A99" s="481"/>
      <c r="B99" s="482"/>
      <c r="C99" s="483"/>
      <c r="D99" s="482"/>
      <c r="E99" s="483"/>
      <c r="F99" s="482"/>
      <c r="G99" s="483"/>
      <c r="H99" s="482"/>
      <c r="I99" s="483"/>
      <c r="J99" s="482"/>
      <c r="K99" s="483"/>
      <c r="L99" s="482"/>
      <c r="M99" s="483"/>
      <c r="N99" s="482"/>
      <c r="O99" s="483"/>
      <c r="P99" s="482"/>
      <c r="Q99" s="482"/>
      <c r="R99" s="482"/>
      <c r="S99" s="482"/>
      <c r="T99" s="482"/>
      <c r="U99" s="457">
        <f t="shared" si="9"/>
        <v>0</v>
      </c>
      <c r="V99" s="458"/>
      <c r="W99" s="484"/>
      <c r="X99" s="484"/>
      <c r="Y99" s="484"/>
      <c r="Z99" s="484"/>
      <c r="AA99" s="484"/>
      <c r="AB99" s="484"/>
      <c r="AC99" s="484"/>
      <c r="AD99" s="450"/>
      <c r="AE99" s="450"/>
      <c r="AF99" s="450"/>
      <c r="AG99" s="450"/>
      <c r="AH99" s="450"/>
      <c r="AI99" s="450"/>
    </row>
    <row r="100" spans="1:35" ht="16.2" thickBot="1" x14ac:dyDescent="0.35">
      <c r="A100" s="485" t="s">
        <v>342</v>
      </c>
      <c r="B100" s="486">
        <f t="shared" ref="B100:T100" si="14">B97+B72</f>
        <v>28.535710674741622</v>
      </c>
      <c r="C100" s="487">
        <f t="shared" si="14"/>
        <v>9.1175603026934304</v>
      </c>
      <c r="D100" s="486">
        <f t="shared" si="14"/>
        <v>50.863414422084333</v>
      </c>
      <c r="E100" s="487">
        <f t="shared" si="14"/>
        <v>9.5886460813370017E-2</v>
      </c>
      <c r="F100" s="486">
        <f t="shared" si="14"/>
        <v>39.81942535350214</v>
      </c>
      <c r="G100" s="487">
        <f t="shared" si="14"/>
        <v>0</v>
      </c>
      <c r="H100" s="486">
        <f t="shared" si="14"/>
        <v>33.790068263336273</v>
      </c>
      <c r="I100" s="487">
        <f t="shared" si="14"/>
        <v>0.6019520588570616</v>
      </c>
      <c r="J100" s="486">
        <f t="shared" si="14"/>
        <v>33.976911796493859</v>
      </c>
      <c r="K100" s="487">
        <f t="shared" si="14"/>
        <v>0.29950679820099269</v>
      </c>
      <c r="L100" s="486">
        <f t="shared" si="14"/>
        <v>27.787469647376337</v>
      </c>
      <c r="M100" s="487">
        <f t="shared" si="14"/>
        <v>2.55522396520802E-2</v>
      </c>
      <c r="N100" s="486">
        <f t="shared" si="14"/>
        <v>5.8567808479233694</v>
      </c>
      <c r="O100" s="487">
        <f t="shared" si="14"/>
        <v>8.2311556780480521E-3</v>
      </c>
      <c r="P100" s="486">
        <f t="shared" si="14"/>
        <v>3.1969999999999996</v>
      </c>
      <c r="Q100" s="486">
        <f t="shared" si="14"/>
        <v>0.57399999999999984</v>
      </c>
      <c r="R100" s="486">
        <f t="shared" si="14"/>
        <v>0.90400000000000003</v>
      </c>
      <c r="S100" s="486">
        <f t="shared" si="14"/>
        <v>0.17200000000000001</v>
      </c>
      <c r="T100" s="488">
        <f t="shared" si="14"/>
        <v>18.814999999999994</v>
      </c>
      <c r="U100" s="484">
        <f t="shared" si="9"/>
        <v>244.29178100545792</v>
      </c>
      <c r="V100" s="458"/>
      <c r="W100" s="489">
        <f t="shared" ref="W100:AI100" si="15">SUM(W25:W99)</f>
        <v>29.660999999999998</v>
      </c>
      <c r="X100" s="489">
        <f t="shared" si="15"/>
        <v>44.126022297480702</v>
      </c>
      <c r="Y100" s="489">
        <f t="shared" si="15"/>
        <v>36.427999999999997</v>
      </c>
      <c r="Z100" s="489">
        <f t="shared" si="15"/>
        <v>38.462000000000003</v>
      </c>
      <c r="AA100" s="489">
        <f t="shared" si="15"/>
        <v>30.213000000000005</v>
      </c>
      <c r="AB100" s="489">
        <f t="shared" si="15"/>
        <v>23.007999999999999</v>
      </c>
      <c r="AC100" s="489">
        <f t="shared" si="15"/>
        <v>4.0830000000000002</v>
      </c>
      <c r="AD100" s="489">
        <f t="shared" si="15"/>
        <v>6.2087587079772231</v>
      </c>
      <c r="AE100" s="489">
        <f t="shared" si="15"/>
        <v>3.7990000000000004</v>
      </c>
      <c r="AF100" s="489">
        <f t="shared" si="15"/>
        <v>14.93</v>
      </c>
      <c r="AG100" s="489">
        <f t="shared" si="15"/>
        <v>4.7330000000000005</v>
      </c>
      <c r="AH100" s="489">
        <f t="shared" si="15"/>
        <v>0.57300000000000006</v>
      </c>
      <c r="AI100" s="489">
        <f t="shared" si="15"/>
        <v>8.0670000000000002</v>
      </c>
    </row>
    <row r="101" spans="1:35" ht="16.2" thickTop="1" x14ac:dyDescent="0.3">
      <c r="A101" s="490" t="s">
        <v>343</v>
      </c>
    </row>
    <row r="102" spans="1:35" x14ac:dyDescent="0.25">
      <c r="B102" s="491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2"/>
      <c r="V102" s="492"/>
      <c r="W102" s="492"/>
      <c r="X102" s="492"/>
      <c r="Y102" s="492"/>
      <c r="Z102" s="492"/>
      <c r="AA102" s="493" t="s">
        <v>344</v>
      </c>
      <c r="AB102" s="492"/>
      <c r="AC102" s="492">
        <f>SUM(W100:AC100)</f>
        <v>205.98102229748071</v>
      </c>
      <c r="AD102" s="494"/>
    </row>
    <row r="103" spans="1:35" x14ac:dyDescent="0.25">
      <c r="J103" s="432"/>
      <c r="AA103" s="495" t="s">
        <v>345</v>
      </c>
      <c r="AC103" s="492">
        <f>SUM(AD100:AG100)</f>
        <v>29.670758707977225</v>
      </c>
    </row>
    <row r="104" spans="1:35" x14ac:dyDescent="0.25"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7" t="s">
        <v>346</v>
      </c>
      <c r="AB104" s="496"/>
      <c r="AC104" s="492">
        <f>SUM(AH100:AI100)</f>
        <v>8.64</v>
      </c>
    </row>
    <row r="105" spans="1:35" ht="15.6" x14ac:dyDescent="0.3">
      <c r="AA105" s="498" t="s">
        <v>0</v>
      </c>
      <c r="AB105" s="414"/>
      <c r="AC105" s="499">
        <f>SUM(AC102:AC104)</f>
        <v>244.29178100545795</v>
      </c>
    </row>
    <row r="108" spans="1:35" x14ac:dyDescent="0.25"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W108" s="500"/>
      <c r="X108" s="496"/>
      <c r="Y108" s="496"/>
      <c r="Z108" s="496"/>
      <c r="AA108" s="496"/>
      <c r="AB108" s="496"/>
      <c r="AC108" s="496"/>
    </row>
  </sheetData>
  <pageMargins left="0.75" right="0.75" top="1" bottom="1" header="0.5" footer="0.5"/>
  <pageSetup paperSize="8" scale="4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  <pageSetUpPr fitToPage="1"/>
  </sheetPr>
  <dimension ref="A1:L27"/>
  <sheetViews>
    <sheetView zoomScale="80" zoomScaleNormal="80" workbookViewId="0">
      <selection activeCell="L27" sqref="L27"/>
    </sheetView>
  </sheetViews>
  <sheetFormatPr defaultRowHeight="15" x14ac:dyDescent="0.25"/>
  <cols>
    <col min="1" max="1" width="37.08984375" customWidth="1"/>
    <col min="2" max="2" width="11.36328125" customWidth="1"/>
    <col min="3" max="4" width="11" customWidth="1"/>
    <col min="5" max="5" width="11.90625" customWidth="1"/>
    <col min="6" max="6" width="11.1796875" customWidth="1"/>
    <col min="7" max="7" width="11.90625" customWidth="1"/>
    <col min="8" max="8" width="11" customWidth="1"/>
    <col min="9" max="9" width="10.6328125" customWidth="1"/>
    <col min="10" max="11" width="13.08984375" customWidth="1"/>
    <col min="12" max="12" width="11.54296875" customWidth="1"/>
  </cols>
  <sheetData>
    <row r="1" spans="1:12" ht="15.6" x14ac:dyDescent="0.3">
      <c r="A1" s="5" t="s">
        <v>395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6" x14ac:dyDescent="0.3">
      <c r="A2" s="9" t="s">
        <v>348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6.2" thickBot="1" x14ac:dyDescent="0.35">
      <c r="A3" s="142" t="s">
        <v>137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6" x14ac:dyDescent="0.25">
      <c r="A4" s="47"/>
      <c r="B4" s="223">
        <v>1</v>
      </c>
      <c r="C4" s="89">
        <f>B4+1</f>
        <v>2</v>
      </c>
      <c r="D4" s="89">
        <f t="shared" ref="D4:J4" si="0">C4+1</f>
        <v>3</v>
      </c>
      <c r="E4" s="223">
        <f t="shared" si="0"/>
        <v>4</v>
      </c>
      <c r="F4" s="89">
        <f>E4+1</f>
        <v>5</v>
      </c>
      <c r="G4" s="89">
        <f t="shared" si="0"/>
        <v>6</v>
      </c>
      <c r="H4" s="89">
        <f t="shared" si="0"/>
        <v>7</v>
      </c>
      <c r="I4" s="222">
        <f t="shared" si="0"/>
        <v>8</v>
      </c>
      <c r="J4" s="232">
        <f t="shared" si="0"/>
        <v>9</v>
      </c>
      <c r="K4" s="222">
        <f>J4+1</f>
        <v>10</v>
      </c>
      <c r="L4" s="297">
        <f>K4+1</f>
        <v>11</v>
      </c>
    </row>
    <row r="5" spans="1:12" ht="93" customHeight="1" thickBot="1" x14ac:dyDescent="0.3">
      <c r="A5" s="40"/>
      <c r="B5" s="120" t="s">
        <v>89</v>
      </c>
      <c r="C5" s="120" t="s">
        <v>90</v>
      </c>
      <c r="D5" s="120" t="s">
        <v>222</v>
      </c>
      <c r="E5" s="120" t="s">
        <v>202</v>
      </c>
      <c r="F5" s="120" t="s">
        <v>91</v>
      </c>
      <c r="G5" s="120" t="s">
        <v>92</v>
      </c>
      <c r="H5" s="120" t="s">
        <v>93</v>
      </c>
      <c r="I5" s="196" t="s">
        <v>126</v>
      </c>
      <c r="J5" s="196" t="s">
        <v>127</v>
      </c>
      <c r="K5" s="196" t="s">
        <v>149</v>
      </c>
      <c r="L5" s="180" t="s">
        <v>105</v>
      </c>
    </row>
    <row r="6" spans="1:12" x14ac:dyDescent="0.25">
      <c r="A6" s="50" t="s">
        <v>7</v>
      </c>
      <c r="B6" s="56" t="s">
        <v>15</v>
      </c>
      <c r="C6" s="56" t="s">
        <v>15</v>
      </c>
      <c r="D6" s="56" t="s">
        <v>15</v>
      </c>
      <c r="E6" s="56" t="s">
        <v>15</v>
      </c>
      <c r="F6" s="56" t="s">
        <v>15</v>
      </c>
      <c r="G6" s="56" t="s">
        <v>15</v>
      </c>
      <c r="H6" s="56" t="s">
        <v>15</v>
      </c>
      <c r="I6" s="56" t="s">
        <v>15</v>
      </c>
      <c r="J6" s="56" t="s">
        <v>15</v>
      </c>
      <c r="K6" s="56" t="s">
        <v>15</v>
      </c>
      <c r="L6" s="95" t="s">
        <v>15</v>
      </c>
    </row>
    <row r="7" spans="1:12" ht="15.6" x14ac:dyDescent="0.25">
      <c r="A7" s="28"/>
      <c r="B7" s="70"/>
      <c r="C7" s="150"/>
      <c r="D7" s="150"/>
      <c r="E7" s="150"/>
      <c r="F7" s="150"/>
      <c r="G7" s="150"/>
      <c r="H7" s="150"/>
      <c r="I7" s="150"/>
      <c r="J7" s="150"/>
      <c r="K7" s="150"/>
      <c r="L7" s="74"/>
    </row>
    <row r="8" spans="1:12" ht="15.6" x14ac:dyDescent="0.25">
      <c r="A8" s="2" t="s">
        <v>20</v>
      </c>
      <c r="B8" s="121">
        <f>5.084-0.02</f>
        <v>5.0640000000000001</v>
      </c>
      <c r="C8" s="122">
        <v>1.88</v>
      </c>
      <c r="D8" s="122">
        <v>1.8959999999999999</v>
      </c>
      <c r="E8" s="122">
        <f>0.715+0.12-0.12</f>
        <v>0.71499999999999997</v>
      </c>
      <c r="F8" s="122">
        <f>0.161-0.161</f>
        <v>0</v>
      </c>
      <c r="G8" s="122">
        <v>0.36</v>
      </c>
      <c r="H8" s="122">
        <v>3.7999999999999999E-2</v>
      </c>
      <c r="I8" s="122">
        <f>0.06+0.12+0.02-0.2</f>
        <v>0</v>
      </c>
      <c r="J8" s="121">
        <v>0.02</v>
      </c>
      <c r="K8" s="122">
        <f>0.16-0.16</f>
        <v>0</v>
      </c>
      <c r="L8" s="29">
        <f>SUM(B8:K8)</f>
        <v>9.972999999999999</v>
      </c>
    </row>
    <row r="9" spans="1:12" ht="15.6" x14ac:dyDescent="0.25">
      <c r="A9" s="2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29"/>
    </row>
    <row r="10" spans="1:12" ht="15.6" x14ac:dyDescent="0.25">
      <c r="A10" s="2" t="s">
        <v>29</v>
      </c>
      <c r="B10" s="121">
        <f>5.648-0.02</f>
        <v>5.6280000000000001</v>
      </c>
      <c r="C10" s="153">
        <v>2.21</v>
      </c>
      <c r="D10" s="153">
        <v>2.2360000000000002</v>
      </c>
      <c r="E10" s="153">
        <f>0.84-0.02+0.02</f>
        <v>0.84</v>
      </c>
      <c r="F10" s="153"/>
      <c r="G10" s="153"/>
      <c r="H10" s="153">
        <v>4.4999999999999998E-2</v>
      </c>
      <c r="I10" s="153"/>
      <c r="J10" s="121">
        <v>0.02</v>
      </c>
      <c r="K10" s="122"/>
      <c r="L10" s="29">
        <f>SUM(B10:K10)</f>
        <v>10.978999999999999</v>
      </c>
    </row>
    <row r="11" spans="1:12" x14ac:dyDescent="0.25">
      <c r="A11" s="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32"/>
    </row>
    <row r="12" spans="1:12" ht="15.6" x14ac:dyDescent="0.25">
      <c r="A12" s="2" t="s">
        <v>21</v>
      </c>
      <c r="B12" s="121">
        <f>3.825-0.02</f>
        <v>3.8050000000000002</v>
      </c>
      <c r="C12" s="122">
        <v>1.4139999999999999</v>
      </c>
      <c r="D12" s="122">
        <v>1.351</v>
      </c>
      <c r="E12" s="122">
        <f>0.537-0.02+0.02</f>
        <v>0.53700000000000003</v>
      </c>
      <c r="F12" s="122"/>
      <c r="G12" s="122"/>
      <c r="H12" s="122">
        <v>3.1E-2</v>
      </c>
      <c r="I12" s="122"/>
      <c r="J12" s="122">
        <v>0.02</v>
      </c>
      <c r="K12" s="122"/>
      <c r="L12" s="29">
        <f>SUM(B12:K12)</f>
        <v>7.1579999999999995</v>
      </c>
    </row>
    <row r="13" spans="1:12" ht="15.6" x14ac:dyDescent="0.25">
      <c r="A13" s="2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29"/>
    </row>
    <row r="14" spans="1:12" ht="15.6" x14ac:dyDescent="0.25">
      <c r="A14" s="2" t="s">
        <v>134</v>
      </c>
      <c r="B14" s="121">
        <f>3.154+1.2278546-0.02</f>
        <v>4.3618546</v>
      </c>
      <c r="C14" s="122">
        <f>1.017+0.49800296</f>
        <v>1.5150029599999999</v>
      </c>
      <c r="D14" s="122">
        <v>1.5129999999999999</v>
      </c>
      <c r="E14" s="122">
        <f>0.386+0.18925256-0.02+0.02</f>
        <v>0.57525256000000002</v>
      </c>
      <c r="F14" s="122">
        <v>1.9E-2</v>
      </c>
      <c r="G14" s="122">
        <v>0.36</v>
      </c>
      <c r="H14" s="122">
        <f>0.02+0.00971992</f>
        <v>2.971992E-2</v>
      </c>
      <c r="I14" s="122"/>
      <c r="J14" s="121">
        <v>0.02</v>
      </c>
      <c r="K14" s="122"/>
      <c r="L14" s="29">
        <f>SUM(B14:K14)</f>
        <v>8.3938300399999992</v>
      </c>
    </row>
    <row r="15" spans="1:12" ht="15.6" x14ac:dyDescent="0.25">
      <c r="A15" s="2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29"/>
    </row>
    <row r="16" spans="1:12" ht="15.6" x14ac:dyDescent="0.25">
      <c r="A16" s="2" t="s">
        <v>23</v>
      </c>
      <c r="B16" s="121">
        <f>2.918-0.02</f>
        <v>2.8980000000000001</v>
      </c>
      <c r="C16" s="122">
        <v>1.284</v>
      </c>
      <c r="D16" s="122">
        <v>1.2909999999999999</v>
      </c>
      <c r="E16" s="122">
        <f>0.488-0.02+0.02</f>
        <v>0.48799999999999999</v>
      </c>
      <c r="F16" s="122">
        <f>0.169-0.169</f>
        <v>0</v>
      </c>
      <c r="G16" s="122"/>
      <c r="H16" s="122">
        <v>2.1999999999999999E-2</v>
      </c>
      <c r="I16" s="122"/>
      <c r="J16" s="121">
        <v>0.02</v>
      </c>
      <c r="K16" s="122"/>
      <c r="L16" s="29">
        <f>SUM(B16:K16)</f>
        <v>6.0030000000000001</v>
      </c>
    </row>
    <row r="17" spans="1:12" x14ac:dyDescent="0.25">
      <c r="A17" s="1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32"/>
    </row>
    <row r="18" spans="1:12" ht="15.6" x14ac:dyDescent="0.25">
      <c r="A18" s="2" t="s">
        <v>22</v>
      </c>
      <c r="B18" s="121">
        <f>1.16-0.02</f>
        <v>1.1399999999999999</v>
      </c>
      <c r="C18" s="122">
        <v>0.45300000000000001</v>
      </c>
      <c r="D18" s="122">
        <v>0.41599999999999998</v>
      </c>
      <c r="E18" s="122">
        <f>0.172-0.02+0.02</f>
        <v>0.17199999999999999</v>
      </c>
      <c r="F18" s="122">
        <f>0.079-0.079</f>
        <v>0</v>
      </c>
      <c r="G18" s="122"/>
      <c r="H18" s="122">
        <v>0.01</v>
      </c>
      <c r="I18" s="122"/>
      <c r="J18" s="121">
        <v>0.02</v>
      </c>
      <c r="K18" s="122"/>
      <c r="L18" s="29">
        <f>SUM(B18:K18)</f>
        <v>2.2109999999999999</v>
      </c>
    </row>
    <row r="19" spans="1:12" ht="15.6" x14ac:dyDescent="0.25">
      <c r="A19" s="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218"/>
    </row>
    <row r="20" spans="1:12" ht="15.6" x14ac:dyDescent="0.25">
      <c r="A20" s="2" t="s">
        <v>135</v>
      </c>
      <c r="B20" s="121">
        <f>4.295-1.2278546-0.02</f>
        <v>3.0471454000000002</v>
      </c>
      <c r="C20" s="122">
        <f>1.742-0.49800296</f>
        <v>1.24399704</v>
      </c>
      <c r="D20" s="122">
        <v>1.2969999999999999</v>
      </c>
      <c r="E20" s="122">
        <f>0.662-0.18925256-0.02+0.02</f>
        <v>0.47274744000000002</v>
      </c>
      <c r="F20" s="122"/>
      <c r="G20" s="122"/>
      <c r="H20" s="122">
        <f>0.034-0.00971992</f>
        <v>2.4280080000000002E-2</v>
      </c>
      <c r="I20" s="122"/>
      <c r="J20" s="121">
        <v>0.02</v>
      </c>
      <c r="K20" s="122"/>
      <c r="L20" s="29">
        <f>SUM(B20:K20)</f>
        <v>6.1051699599999987</v>
      </c>
    </row>
    <row r="21" spans="1:12" ht="16.2" thickBot="1" x14ac:dyDescent="0.3">
      <c r="A21" s="2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73"/>
    </row>
    <row r="22" spans="1:12" ht="16.2" thickBot="1" x14ac:dyDescent="0.35">
      <c r="A22" s="33" t="s">
        <v>0</v>
      </c>
      <c r="B22" s="54">
        <f t="shared" ref="B22:L22" si="1">+B20+B8+B10+B12+B14+B16+B18</f>
        <v>25.944000000000003</v>
      </c>
      <c r="C22" s="54">
        <f t="shared" si="1"/>
        <v>10</v>
      </c>
      <c r="D22" s="54">
        <f t="shared" si="1"/>
        <v>10</v>
      </c>
      <c r="E22" s="54">
        <f t="shared" si="1"/>
        <v>3.8</v>
      </c>
      <c r="F22" s="54">
        <f t="shared" si="1"/>
        <v>1.9E-2</v>
      </c>
      <c r="G22" s="54">
        <f t="shared" si="1"/>
        <v>0.72</v>
      </c>
      <c r="H22" s="54">
        <f t="shared" si="1"/>
        <v>0.2</v>
      </c>
      <c r="I22" s="54">
        <f t="shared" si="1"/>
        <v>0</v>
      </c>
      <c r="J22" s="54">
        <f t="shared" si="1"/>
        <v>0.14000000000000001</v>
      </c>
      <c r="K22" s="54">
        <f t="shared" si="1"/>
        <v>0</v>
      </c>
      <c r="L22" s="101">
        <f t="shared" si="1"/>
        <v>50.822999999999993</v>
      </c>
    </row>
    <row r="24" spans="1:12" ht="60" x14ac:dyDescent="0.25">
      <c r="B24" s="507" t="s">
        <v>362</v>
      </c>
      <c r="C24" s="178"/>
      <c r="D24" s="178"/>
      <c r="E24" s="507" t="s">
        <v>362</v>
      </c>
      <c r="H24" s="178"/>
      <c r="I24" s="501" t="s">
        <v>347</v>
      </c>
      <c r="K24" s="501" t="s">
        <v>347</v>
      </c>
    </row>
    <row r="25" spans="1:12" x14ac:dyDescent="0.25">
      <c r="E25" s="178"/>
      <c r="I25" s="8"/>
      <c r="J25" s="8"/>
      <c r="K25" s="8"/>
    </row>
    <row r="26" spans="1:12" x14ac:dyDescent="0.25">
      <c r="E26" s="178"/>
      <c r="G26" s="8"/>
    </row>
    <row r="27" spans="1:12" x14ac:dyDescent="0.25">
      <c r="E27" s="178"/>
    </row>
  </sheetData>
  <pageMargins left="0.7" right="0.7" top="0.75" bottom="0.75" header="0.3" footer="0.3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fitToPage="1"/>
  </sheetPr>
  <dimension ref="A1:I26"/>
  <sheetViews>
    <sheetView tabSelected="1" topLeftCell="A3" zoomScale="55" zoomScaleNormal="85" workbookViewId="0">
      <selection activeCell="M15" sqref="M15"/>
    </sheetView>
  </sheetViews>
  <sheetFormatPr defaultColWidth="8.90625" defaultRowHeight="15" x14ac:dyDescent="0.25"/>
  <cols>
    <col min="1" max="1" width="46.1796875" style="44" customWidth="1"/>
    <col min="2" max="2" width="22.453125" style="44" customWidth="1"/>
    <col min="3" max="4" width="18.81640625" style="44" customWidth="1"/>
    <col min="5" max="8" width="17" style="44" customWidth="1"/>
    <col min="9" max="9" width="17.54296875" style="44" customWidth="1"/>
    <col min="10" max="10" width="12.90625" style="44" customWidth="1"/>
    <col min="11" max="12" width="8.90625" style="44"/>
    <col min="13" max="13" width="24.453125" style="44" customWidth="1"/>
    <col min="14" max="16384" width="8.90625" style="44"/>
  </cols>
  <sheetData>
    <row r="1" spans="1:9" hidden="1" x14ac:dyDescent="0.25"/>
    <row r="2" spans="1:9" hidden="1" x14ac:dyDescent="0.25"/>
    <row r="3" spans="1:9" ht="17.399999999999999" x14ac:dyDescent="0.3">
      <c r="A3" s="6" t="s">
        <v>223</v>
      </c>
      <c r="B3" s="43"/>
      <c r="C3" s="43"/>
      <c r="D3" s="43"/>
      <c r="E3" s="43"/>
      <c r="F3" s="43"/>
      <c r="G3" s="4"/>
      <c r="H3" s="4"/>
      <c r="I3" s="4"/>
    </row>
    <row r="4" spans="1:9" ht="18" thickBot="1" x14ac:dyDescent="0.35">
      <c r="A4" s="6"/>
      <c r="B4" s="43"/>
      <c r="C4" s="43"/>
      <c r="D4" s="43"/>
      <c r="E4" s="43"/>
      <c r="F4" s="43"/>
      <c r="G4" s="4"/>
      <c r="H4" s="4"/>
      <c r="I4" s="4"/>
    </row>
    <row r="5" spans="1:9" s="45" customFormat="1" ht="24" customHeight="1" thickBot="1" x14ac:dyDescent="0.35">
      <c r="A5" s="38"/>
      <c r="B5" s="7">
        <v>1</v>
      </c>
      <c r="C5" s="7">
        <f>B5+1</f>
        <v>2</v>
      </c>
      <c r="D5" s="538">
        <f t="shared" ref="D5:I5" si="0">C5+1</f>
        <v>3</v>
      </c>
      <c r="E5" s="546">
        <f t="shared" si="0"/>
        <v>4</v>
      </c>
      <c r="F5" s="249">
        <f t="shared" si="0"/>
        <v>5</v>
      </c>
      <c r="G5" s="7">
        <f t="shared" si="0"/>
        <v>6</v>
      </c>
      <c r="H5" s="7">
        <f t="shared" si="0"/>
        <v>7</v>
      </c>
      <c r="I5" s="533">
        <f t="shared" si="0"/>
        <v>8</v>
      </c>
    </row>
    <row r="6" spans="1:9" s="105" customFormat="1" ht="106.5" customHeight="1" thickBot="1" x14ac:dyDescent="0.3">
      <c r="A6" s="104"/>
      <c r="B6" s="71" t="s">
        <v>224</v>
      </c>
      <c r="C6" s="71" t="s">
        <v>225</v>
      </c>
      <c r="D6" s="539" t="s">
        <v>226</v>
      </c>
      <c r="E6" s="547" t="s">
        <v>227</v>
      </c>
      <c r="F6" s="540" t="s">
        <v>228</v>
      </c>
      <c r="G6" s="72" t="s">
        <v>229</v>
      </c>
      <c r="H6" s="532" t="s">
        <v>230</v>
      </c>
      <c r="I6" s="534" t="s">
        <v>231</v>
      </c>
    </row>
    <row r="7" spans="1:9" ht="15.6" x14ac:dyDescent="0.3">
      <c r="A7" s="42"/>
      <c r="B7" s="94" t="s">
        <v>15</v>
      </c>
      <c r="C7" s="94" t="s">
        <v>15</v>
      </c>
      <c r="D7" s="522" t="s">
        <v>15</v>
      </c>
      <c r="E7" s="526" t="s">
        <v>15</v>
      </c>
      <c r="F7" s="541" t="s">
        <v>15</v>
      </c>
      <c r="G7" s="94" t="s">
        <v>15</v>
      </c>
      <c r="H7" s="522" t="s">
        <v>15</v>
      </c>
      <c r="I7" s="526" t="s">
        <v>15</v>
      </c>
    </row>
    <row r="8" spans="1:9" ht="15.6" x14ac:dyDescent="0.25">
      <c r="A8" s="91"/>
      <c r="B8" s="92"/>
      <c r="C8" s="92"/>
      <c r="D8" s="93"/>
      <c r="E8" s="535"/>
      <c r="F8" s="542"/>
      <c r="G8" s="93"/>
      <c r="H8" s="93"/>
      <c r="I8" s="535"/>
    </row>
    <row r="9" spans="1:9" ht="18.75" customHeight="1" x14ac:dyDescent="0.3">
      <c r="A9" s="2" t="s">
        <v>20</v>
      </c>
      <c r="B9" s="52">
        <f>'A1'!E7</f>
        <v>1211.3773536461088</v>
      </c>
      <c r="C9" s="52">
        <f>'B1'!O8</f>
        <v>245.45031121734695</v>
      </c>
      <c r="D9" s="85">
        <f>'B2'!C92</f>
        <v>1.5085950000000004</v>
      </c>
      <c r="E9" s="528">
        <f>B9+C9+D9</f>
        <v>1458.3362598634558</v>
      </c>
      <c r="F9" s="543">
        <f>'C'!D8</f>
        <v>108.69409107999999</v>
      </c>
      <c r="G9" s="85">
        <f>E!E7</f>
        <v>34.917000000000002</v>
      </c>
      <c r="H9" s="85">
        <f>F!E7</f>
        <v>34.643055999999994</v>
      </c>
      <c r="I9" s="528">
        <f>E9+F9+G9+H9</f>
        <v>1636.5904069434555</v>
      </c>
    </row>
    <row r="10" spans="1:9" ht="15.6" x14ac:dyDescent="0.3">
      <c r="A10" s="2"/>
      <c r="B10" s="52"/>
      <c r="C10" s="52"/>
      <c r="D10" s="85"/>
      <c r="E10" s="528"/>
      <c r="F10" s="543"/>
      <c r="G10" s="85"/>
      <c r="H10" s="85"/>
      <c r="I10" s="528"/>
    </row>
    <row r="11" spans="1:9" ht="17.25" customHeight="1" x14ac:dyDescent="0.3">
      <c r="A11" s="2" t="s">
        <v>29</v>
      </c>
      <c r="B11" s="52">
        <f>'A1'!E9</f>
        <v>1424.9515771143535</v>
      </c>
      <c r="C11" s="52">
        <f>'B1'!O10</f>
        <v>375.25405325176928</v>
      </c>
      <c r="D11" s="85">
        <f>'B2'!E92</f>
        <v>4.3108419999999992</v>
      </c>
      <c r="E11" s="528">
        <f>B11+C11+D11</f>
        <v>1804.516472366123</v>
      </c>
      <c r="F11" s="543">
        <f>'C'!D10</f>
        <v>139.79591311999997</v>
      </c>
      <c r="G11" s="85">
        <f>E!E9</f>
        <v>37.649000000000001</v>
      </c>
      <c r="H11" s="85">
        <f>F!E9</f>
        <v>33.688699999999997</v>
      </c>
      <c r="I11" s="528">
        <f>E11+F11+G11+H11</f>
        <v>2015.6500854861231</v>
      </c>
    </row>
    <row r="12" spans="1:9" x14ac:dyDescent="0.25">
      <c r="A12" s="1"/>
      <c r="B12" s="31"/>
      <c r="C12" s="31"/>
      <c r="D12" s="30"/>
      <c r="E12" s="536"/>
      <c r="F12" s="544"/>
      <c r="G12" s="30"/>
      <c r="H12" s="30"/>
      <c r="I12" s="536"/>
    </row>
    <row r="13" spans="1:9" ht="18.75" customHeight="1" x14ac:dyDescent="0.3">
      <c r="A13" s="2" t="s">
        <v>21</v>
      </c>
      <c r="B13" s="52">
        <f>'A1'!E11</f>
        <v>874.7869119821213</v>
      </c>
      <c r="C13" s="52">
        <f>'B1'!O12</f>
        <v>204.15869589771222</v>
      </c>
      <c r="D13" s="85">
        <f>'B2'!G92</f>
        <v>21.517713000000001</v>
      </c>
      <c r="E13" s="528">
        <f>B13+C13+D13</f>
        <v>1100.4633208798334</v>
      </c>
      <c r="F13" s="543">
        <f>'C'!D12</f>
        <v>80.976154919999971</v>
      </c>
      <c r="G13" s="85">
        <f>E!E11</f>
        <v>24.769000000000002</v>
      </c>
      <c r="H13" s="85">
        <f>F!E11</f>
        <v>30.848000000000003</v>
      </c>
      <c r="I13" s="528">
        <f>E13+F13+G13+H13</f>
        <v>1237.0564757998334</v>
      </c>
    </row>
    <row r="14" spans="1:9" ht="15.6" x14ac:dyDescent="0.3">
      <c r="A14" s="2"/>
      <c r="B14" s="52"/>
      <c r="C14" s="52"/>
      <c r="D14" s="85"/>
      <c r="E14" s="528"/>
      <c r="F14" s="543"/>
      <c r="G14" s="85"/>
      <c r="H14" s="85"/>
      <c r="I14" s="528"/>
    </row>
    <row r="15" spans="1:9" s="9" customFormat="1" ht="17.25" customHeight="1" x14ac:dyDescent="0.3">
      <c r="A15" s="2" t="s">
        <v>134</v>
      </c>
      <c r="B15" s="52">
        <f>'A1'!E13</f>
        <v>968.0116314800739</v>
      </c>
      <c r="C15" s="52">
        <f>'B1'!O14</f>
        <v>201.4749087357936</v>
      </c>
      <c r="D15" s="85">
        <f>'B2'!I92</f>
        <v>2.5741920270798939</v>
      </c>
      <c r="E15" s="528">
        <f>B15+C15+D15</f>
        <v>1172.0607322429473</v>
      </c>
      <c r="F15" s="543">
        <f>'C'!D14</f>
        <v>83.502173970520815</v>
      </c>
      <c r="G15" s="85">
        <f>E!E13</f>
        <v>29.7101627069</v>
      </c>
      <c r="H15" s="85">
        <f>F!E13</f>
        <v>24.981640244454393</v>
      </c>
      <c r="I15" s="528">
        <f>E15+F15+G15+H15</f>
        <v>1310.2547091648225</v>
      </c>
    </row>
    <row r="16" spans="1:9" s="9" customFormat="1" ht="15.6" x14ac:dyDescent="0.3">
      <c r="A16" s="2"/>
      <c r="B16" s="52"/>
      <c r="C16" s="52"/>
      <c r="D16" s="85"/>
      <c r="E16" s="528"/>
      <c r="F16" s="543"/>
      <c r="G16" s="85"/>
      <c r="H16" s="85"/>
      <c r="I16" s="528"/>
    </row>
    <row r="17" spans="1:9" ht="17.25" customHeight="1" x14ac:dyDescent="0.3">
      <c r="A17" s="2" t="s">
        <v>23</v>
      </c>
      <c r="B17" s="52">
        <f>'A1'!E15</f>
        <v>811.31236209558369</v>
      </c>
      <c r="C17" s="52">
        <f>'B1'!O16</f>
        <v>172.81083860023168</v>
      </c>
      <c r="D17" s="85">
        <f>'B2'!K92</f>
        <v>0.689716</v>
      </c>
      <c r="E17" s="528">
        <f>B17+C17+D17</f>
        <v>984.81291669581537</v>
      </c>
      <c r="F17" s="543">
        <f>'C'!D16</f>
        <v>77.276338520000039</v>
      </c>
      <c r="G17" s="85">
        <f>E!E15</f>
        <v>23.258000000000006</v>
      </c>
      <c r="H17" s="85">
        <f>F!E15</f>
        <v>20.883600000000001</v>
      </c>
      <c r="I17" s="528">
        <f>E17+F17+G17+H17</f>
        <v>1106.2308552158156</v>
      </c>
    </row>
    <row r="18" spans="1:9" x14ac:dyDescent="0.25">
      <c r="A18" s="1"/>
      <c r="B18" s="31"/>
      <c r="C18" s="31"/>
      <c r="D18" s="30"/>
      <c r="E18" s="536"/>
      <c r="F18" s="544"/>
      <c r="G18" s="30"/>
      <c r="H18" s="30"/>
      <c r="I18" s="536"/>
    </row>
    <row r="19" spans="1:9" s="9" customFormat="1" ht="18.75" customHeight="1" x14ac:dyDescent="0.3">
      <c r="A19" s="2" t="s">
        <v>22</v>
      </c>
      <c r="B19" s="52">
        <f>'A1'!E17</f>
        <v>281.74168511059963</v>
      </c>
      <c r="C19" s="52">
        <f>'B1'!O18</f>
        <v>60.114816840808679</v>
      </c>
      <c r="D19" s="85">
        <f>'B2'!M92</f>
        <v>0.44219649999999999</v>
      </c>
      <c r="E19" s="528">
        <f>B19+C19+D19</f>
        <v>342.29869845140831</v>
      </c>
      <c r="F19" s="543">
        <f>'C'!D18</f>
        <v>35.684808999999994</v>
      </c>
      <c r="G19" s="85">
        <f>E!E17</f>
        <v>5.5060000000000002</v>
      </c>
      <c r="H19" s="85">
        <f>F!E17</f>
        <v>7.5745000000000013</v>
      </c>
      <c r="I19" s="528">
        <f>E19+F19+G19+H19</f>
        <v>391.06400745140826</v>
      </c>
    </row>
    <row r="20" spans="1:9" s="9" customFormat="1" ht="18.75" customHeight="1" x14ac:dyDescent="0.3">
      <c r="A20" s="2"/>
      <c r="B20" s="52"/>
      <c r="C20" s="52"/>
      <c r="D20" s="85"/>
      <c r="E20" s="528"/>
      <c r="F20" s="543"/>
      <c r="G20" s="85"/>
      <c r="H20" s="85"/>
      <c r="I20" s="528"/>
    </row>
    <row r="21" spans="1:9" ht="18.75" customHeight="1" x14ac:dyDescent="0.3">
      <c r="A21" s="2" t="s">
        <v>135</v>
      </c>
      <c r="B21" s="52">
        <f>'A1'!E19</f>
        <v>820.69239459190908</v>
      </c>
      <c r="C21" s="52">
        <f>'B1'!O20</f>
        <v>212.22071426179554</v>
      </c>
      <c r="D21" s="85">
        <f>'B2'!O92</f>
        <v>9.964390972920107</v>
      </c>
      <c r="E21" s="528">
        <f>B21+C21+D21</f>
        <v>1042.8774998266247</v>
      </c>
      <c r="F21" s="543">
        <f>'C'!D20</f>
        <v>69.39577786947919</v>
      </c>
      <c r="G21" s="85">
        <f>E!E19</f>
        <v>23.272837293100004</v>
      </c>
      <c r="H21" s="85">
        <f>F!E19</f>
        <v>25.112351755545617</v>
      </c>
      <c r="I21" s="528">
        <f>E21+F21+G21+H21</f>
        <v>1160.6584667447496</v>
      </c>
    </row>
    <row r="22" spans="1:9" ht="16.2" thickBot="1" x14ac:dyDescent="0.35">
      <c r="A22" s="2"/>
      <c r="B22" s="35"/>
      <c r="C22" s="35"/>
      <c r="D22" s="61"/>
      <c r="E22" s="536"/>
      <c r="F22" s="544"/>
      <c r="G22" s="61"/>
      <c r="H22" s="61"/>
      <c r="I22" s="537"/>
    </row>
    <row r="23" spans="1:9" s="9" customFormat="1" ht="22.5" customHeight="1" thickBot="1" x14ac:dyDescent="0.35">
      <c r="A23" s="33" t="s">
        <v>0</v>
      </c>
      <c r="B23" s="54">
        <f t="shared" ref="B23:I23" si="1">B21+B9+B11+B13+B15+B17+B19</f>
        <v>6392.8739160207515</v>
      </c>
      <c r="C23" s="54">
        <f t="shared" si="1"/>
        <v>1471.484338805458</v>
      </c>
      <c r="D23" s="514">
        <f t="shared" si="1"/>
        <v>41.007645500000002</v>
      </c>
      <c r="E23" s="521">
        <f t="shared" si="1"/>
        <v>7905.3659003262073</v>
      </c>
      <c r="F23" s="545">
        <f t="shared" si="1"/>
        <v>595.32525847999989</v>
      </c>
      <c r="G23" s="54">
        <f t="shared" si="1"/>
        <v>179.08200000000002</v>
      </c>
      <c r="H23" s="514">
        <f t="shared" si="1"/>
        <v>177.73184800000001</v>
      </c>
      <c r="I23" s="521">
        <f t="shared" si="1"/>
        <v>8857.5050068062083</v>
      </c>
    </row>
    <row r="26" spans="1:9" x14ac:dyDescent="0.25">
      <c r="B26" s="48"/>
    </row>
  </sheetData>
  <phoneticPr fontId="13" type="noConversion"/>
  <printOptions horizontalCentered="1"/>
  <pageMargins left="0.78740157480314965" right="0.74803149606299213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A1:F23"/>
  <sheetViews>
    <sheetView showGridLines="0" zoomScale="70" zoomScaleNormal="60" workbookViewId="0">
      <selection activeCell="H4" sqref="H4"/>
    </sheetView>
  </sheetViews>
  <sheetFormatPr defaultColWidth="8.90625" defaultRowHeight="15" x14ac:dyDescent="0.25"/>
  <cols>
    <col min="1" max="1" width="39.81640625" style="11" customWidth="1"/>
    <col min="2" max="2" width="19.08984375" style="11" customWidth="1"/>
    <col min="3" max="3" width="15.36328125" style="11" customWidth="1"/>
    <col min="4" max="4" width="15.81640625" style="11" customWidth="1"/>
    <col min="5" max="5" width="19.36328125" style="11" customWidth="1"/>
    <col min="6" max="6" width="10.08984375" style="11" customWidth="1"/>
    <col min="7" max="16384" width="8.90625" style="11"/>
  </cols>
  <sheetData>
    <row r="1" spans="1:6" ht="27.75" customHeight="1" x14ac:dyDescent="0.25">
      <c r="A1" s="12" t="s">
        <v>232</v>
      </c>
      <c r="B1" s="10"/>
      <c r="C1" s="10"/>
      <c r="D1" s="10"/>
      <c r="E1" s="10"/>
    </row>
    <row r="2" spans="1:6" ht="13.5" customHeight="1" thickBot="1" x14ac:dyDescent="0.3">
      <c r="A2" s="12"/>
      <c r="B2" s="10"/>
      <c r="C2" s="10"/>
      <c r="D2" s="10"/>
      <c r="E2" s="10"/>
    </row>
    <row r="3" spans="1:6" s="14" customFormat="1" ht="16.2" thickBot="1" x14ac:dyDescent="0.3">
      <c r="A3" s="13"/>
      <c r="B3" s="46">
        <v>1</v>
      </c>
      <c r="C3" s="46">
        <f>B3+1</f>
        <v>2</v>
      </c>
      <c r="D3" s="46">
        <f>C3+1</f>
        <v>3</v>
      </c>
      <c r="E3" s="524">
        <f>D3+1</f>
        <v>4</v>
      </c>
    </row>
    <row r="4" spans="1:6" s="15" customFormat="1" ht="129" customHeight="1" thickBot="1" x14ac:dyDescent="0.3">
      <c r="A4" s="40"/>
      <c r="B4" s="165" t="s">
        <v>198</v>
      </c>
      <c r="C4" s="72" t="s">
        <v>160</v>
      </c>
      <c r="D4" s="143" t="s">
        <v>161</v>
      </c>
      <c r="E4" s="525" t="s">
        <v>224</v>
      </c>
    </row>
    <row r="5" spans="1:6" s="16" customFormat="1" ht="15" customHeight="1" x14ac:dyDescent="0.3">
      <c r="A5" s="41" t="s">
        <v>7</v>
      </c>
      <c r="B5" s="94" t="s">
        <v>15</v>
      </c>
      <c r="C5" s="94" t="s">
        <v>15</v>
      </c>
      <c r="D5" s="522" t="s">
        <v>15</v>
      </c>
      <c r="E5" s="526" t="s">
        <v>15</v>
      </c>
    </row>
    <row r="6" spans="1:6" s="16" customFormat="1" ht="15" customHeight="1" x14ac:dyDescent="0.25">
      <c r="A6" s="57"/>
      <c r="B6" s="59"/>
      <c r="C6" s="60"/>
      <c r="D6" s="144"/>
      <c r="E6" s="527"/>
    </row>
    <row r="7" spans="1:6" ht="15.6" x14ac:dyDescent="0.3">
      <c r="A7" s="102" t="s">
        <v>20</v>
      </c>
      <c r="B7" s="52">
        <v>1071.6322956461088</v>
      </c>
      <c r="C7" s="52">
        <f>+'A2'!AB7</f>
        <v>92.798978000000005</v>
      </c>
      <c r="D7" s="85">
        <f>'A3'!D7</f>
        <v>46.946080000000002</v>
      </c>
      <c r="E7" s="528">
        <f>+B7+C7+D7</f>
        <v>1211.3773536461088</v>
      </c>
      <c r="F7" s="17"/>
    </row>
    <row r="8" spans="1:6" ht="15.6" x14ac:dyDescent="0.3">
      <c r="A8" s="103"/>
      <c r="B8" s="52"/>
      <c r="C8" s="52"/>
      <c r="D8" s="85"/>
      <c r="E8" s="528"/>
      <c r="F8" s="17"/>
    </row>
    <row r="9" spans="1:6" ht="15.6" x14ac:dyDescent="0.3">
      <c r="A9" s="2" t="s">
        <v>29</v>
      </c>
      <c r="B9" s="52">
        <v>1260.9903381143536</v>
      </c>
      <c r="C9" s="52">
        <f>+'A2'!AB9</f>
        <v>109.14984899999999</v>
      </c>
      <c r="D9" s="85">
        <f>'A3'!D9</f>
        <v>54.811390000000003</v>
      </c>
      <c r="E9" s="528">
        <f>+B9+C9+D9</f>
        <v>1424.9515771143535</v>
      </c>
      <c r="F9" s="17"/>
    </row>
    <row r="10" spans="1:6" ht="15.6" x14ac:dyDescent="0.3">
      <c r="A10" s="103"/>
      <c r="B10" s="52"/>
      <c r="C10" s="52"/>
      <c r="D10" s="85"/>
      <c r="E10" s="528"/>
      <c r="F10" s="17"/>
    </row>
    <row r="11" spans="1:6" ht="15.6" x14ac:dyDescent="0.3">
      <c r="A11" s="2" t="s">
        <v>21</v>
      </c>
      <c r="B11" s="52">
        <v>773.42948998212125</v>
      </c>
      <c r="C11" s="52">
        <f>+'A2'!AB11</f>
        <v>67.929842000000008</v>
      </c>
      <c r="D11" s="85">
        <f>'A3'!D11</f>
        <v>33.427579999999999</v>
      </c>
      <c r="E11" s="528">
        <f>+B11+C11+D11</f>
        <v>874.7869119821213</v>
      </c>
      <c r="F11" s="17"/>
    </row>
    <row r="12" spans="1:6" ht="15.6" x14ac:dyDescent="0.3">
      <c r="A12" s="2"/>
      <c r="B12" s="52"/>
      <c r="C12" s="52"/>
      <c r="D12" s="85"/>
      <c r="E12" s="528"/>
      <c r="F12" s="17"/>
    </row>
    <row r="13" spans="1:6" s="18" customFormat="1" ht="15.6" x14ac:dyDescent="0.3">
      <c r="A13" s="2" t="s">
        <v>134</v>
      </c>
      <c r="B13" s="52">
        <v>858.17187848007393</v>
      </c>
      <c r="C13" s="52">
        <f>+'A2'!AB13</f>
        <v>73.216892999999999</v>
      </c>
      <c r="D13" s="85">
        <f>'A3'!D13</f>
        <v>36.622860000000003</v>
      </c>
      <c r="E13" s="528">
        <f>+B13+C13+D13</f>
        <v>968.0116314800739</v>
      </c>
      <c r="F13" s="12"/>
    </row>
    <row r="14" spans="1:6" ht="15.6" x14ac:dyDescent="0.25">
      <c r="A14" s="1"/>
      <c r="B14" s="24"/>
      <c r="C14" s="24"/>
      <c r="D14" s="130"/>
      <c r="E14" s="529"/>
      <c r="F14" s="17"/>
    </row>
    <row r="15" spans="1:6" s="18" customFormat="1" ht="15.6" x14ac:dyDescent="0.3">
      <c r="A15" s="2" t="s">
        <v>23</v>
      </c>
      <c r="B15" s="52">
        <v>719.63050109558367</v>
      </c>
      <c r="C15" s="52">
        <f>+'A2'!AB15</f>
        <v>59.974820999999999</v>
      </c>
      <c r="D15" s="85">
        <f>'A3'!D15</f>
        <v>31.707039999999999</v>
      </c>
      <c r="E15" s="528">
        <f>+B15+C15+D15</f>
        <v>811.31236209558369</v>
      </c>
      <c r="F15" s="12"/>
    </row>
    <row r="16" spans="1:6" s="18" customFormat="1" ht="15.6" x14ac:dyDescent="0.3">
      <c r="A16" s="2"/>
      <c r="B16" s="52"/>
      <c r="C16" s="52"/>
      <c r="D16" s="85"/>
      <c r="E16" s="528"/>
      <c r="F16" s="12"/>
    </row>
    <row r="17" spans="1:6" ht="15.6" x14ac:dyDescent="0.3">
      <c r="A17" s="2" t="s">
        <v>22</v>
      </c>
      <c r="B17" s="24">
        <v>247.65006711059965</v>
      </c>
      <c r="C17" s="24">
        <f>+'A2'!AB17</f>
        <v>23.276818000000002</v>
      </c>
      <c r="D17" s="85">
        <f>'A3'!D17</f>
        <v>10.8148</v>
      </c>
      <c r="E17" s="529">
        <f>+B17+C17+D17</f>
        <v>281.74168511059963</v>
      </c>
      <c r="F17" s="17"/>
    </row>
    <row r="18" spans="1:6" ht="15.6" x14ac:dyDescent="0.3">
      <c r="A18" s="2"/>
      <c r="B18" s="24"/>
      <c r="C18" s="24"/>
      <c r="D18" s="119"/>
      <c r="E18" s="529"/>
      <c r="F18" s="17"/>
    </row>
    <row r="19" spans="1:6" ht="15.6" x14ac:dyDescent="0.3">
      <c r="A19" s="2" t="s">
        <v>135</v>
      </c>
      <c r="B19" s="52">
        <v>724.65986759190912</v>
      </c>
      <c r="C19" s="52">
        <f>+'A2'!AB19</f>
        <v>64.571276999999995</v>
      </c>
      <c r="D19" s="85">
        <f>'A3'!D19</f>
        <v>31.46125</v>
      </c>
      <c r="E19" s="528">
        <f>+B19+C19+D19</f>
        <v>820.69239459190908</v>
      </c>
      <c r="F19" s="17"/>
    </row>
    <row r="20" spans="1:6" s="18" customFormat="1" ht="16.2" thickBot="1" x14ac:dyDescent="0.3">
      <c r="A20" s="2"/>
      <c r="B20" s="53"/>
      <c r="C20" s="53"/>
      <c r="D20" s="145"/>
      <c r="E20" s="530"/>
      <c r="F20" s="12"/>
    </row>
    <row r="21" spans="1:6" s="18" customFormat="1" ht="16.2" thickBot="1" x14ac:dyDescent="0.3">
      <c r="A21" s="19" t="s">
        <v>0</v>
      </c>
      <c r="B21" s="49">
        <f>+B9+B19+B15+B17+B13+B11+B7</f>
        <v>5656.1644380207508</v>
      </c>
      <c r="C21" s="49">
        <f>+C9+C19+C15+C17+C13+C11+C7</f>
        <v>490.91847800000005</v>
      </c>
      <c r="D21" s="523">
        <f>+D9+D19+D15+D17+D13+D11+D7</f>
        <v>245.791</v>
      </c>
      <c r="E21" s="531">
        <f>+E9+E19+E15+E17+E13+E11+E7</f>
        <v>6392.8739160207497</v>
      </c>
      <c r="F21" s="12"/>
    </row>
    <row r="22" spans="1:6" x14ac:dyDescent="0.25">
      <c r="A22" s="20"/>
      <c r="B22" s="21"/>
      <c r="C22" s="22"/>
      <c r="D22" s="22"/>
      <c r="E22" s="21"/>
    </row>
    <row r="23" spans="1:6" x14ac:dyDescent="0.25">
      <c r="B23" s="178"/>
      <c r="E23" s="178"/>
    </row>
  </sheetData>
  <customSheetViews>
    <customSheetView guid="{92B97691-A213-481E-9B20-3BF43CB76868}" scale="60" showPageBreaks="1" showGridLines="0" fitToPage="1" showRuler="0">
      <selection activeCell="D34" sqref="D34"/>
      <pageMargins left="0.74803149606299213" right="0.74803149606299213" top="0.98425196850393704" bottom="0.98425196850393704" header="0.51181102362204722" footer="0.51181102362204722"/>
      <pageSetup paperSize="9" scale="64" orientation="landscape" horizontalDpi="0" r:id="rId1"/>
      <headerFooter alignWithMargins="0">
        <oddHeader>&amp;CDRAFT - Final Changes</oddHeader>
        <oddFooter>&amp;L&amp;F&amp;R&amp;D &amp;T</oddFooter>
      </headerFooter>
    </customSheetView>
  </customSheetViews>
  <phoneticPr fontId="13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2"/>
    <pageSetUpPr fitToPage="1"/>
  </sheetPr>
  <dimension ref="A1:AC26"/>
  <sheetViews>
    <sheetView zoomScale="70" zoomScaleNormal="70" workbookViewId="0">
      <pane xSplit="1" ySplit="6" topLeftCell="B7" activePane="bottomRight" state="frozen"/>
      <selection activeCell="K4" sqref="K4"/>
      <selection pane="topRight" activeCell="K4" sqref="K4"/>
      <selection pane="bottomLeft" activeCell="K4" sqref="K4"/>
      <selection pane="bottomRight" activeCell="B4" sqref="B4:AA5"/>
    </sheetView>
  </sheetViews>
  <sheetFormatPr defaultColWidth="8.90625" defaultRowHeight="15" x14ac:dyDescent="0.25"/>
  <cols>
    <col min="1" max="1" width="38.81640625" style="8" customWidth="1"/>
    <col min="2" max="2" width="13.08984375" style="8" customWidth="1"/>
    <col min="3" max="14" width="14.6328125" style="8" customWidth="1"/>
    <col min="15" max="15" width="13.08984375" style="8" customWidth="1"/>
    <col min="16" max="16" width="14.6328125" style="8" customWidth="1"/>
    <col min="17" max="26" width="12.1796875" style="8" customWidth="1"/>
    <col min="27" max="27" width="13.1796875" style="8" customWidth="1"/>
    <col min="28" max="29" width="12.81640625" style="8" customWidth="1"/>
    <col min="30" max="30" width="18" style="8" bestFit="1" customWidth="1"/>
    <col min="31" max="16384" width="8.90625" style="8"/>
  </cols>
  <sheetData>
    <row r="1" spans="1:29" ht="15.6" x14ac:dyDescent="0.3">
      <c r="A1" s="5" t="s">
        <v>233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5"/>
    </row>
    <row r="2" spans="1:29" ht="16.2" thickBot="1" x14ac:dyDescent="0.35">
      <c r="AC2" s="25"/>
    </row>
    <row r="3" spans="1:29" s="26" customFormat="1" ht="16.5" customHeight="1" thickBot="1" x14ac:dyDescent="0.3">
      <c r="A3" s="47"/>
      <c r="B3" s="223">
        <v>1</v>
      </c>
      <c r="C3" s="223">
        <f>B3+1</f>
        <v>2</v>
      </c>
      <c r="D3" s="223">
        <f t="shared" ref="D3" si="0">C3+1</f>
        <v>3</v>
      </c>
      <c r="E3" s="223">
        <f t="shared" ref="E3" si="1">D3+1</f>
        <v>4</v>
      </c>
      <c r="F3" s="223">
        <f t="shared" ref="F3" si="2">E3+1</f>
        <v>5</v>
      </c>
      <c r="G3" s="223">
        <f t="shared" ref="G3" si="3">F3+1</f>
        <v>6</v>
      </c>
      <c r="H3" s="223">
        <f t="shared" ref="H3" si="4">G3+1</f>
        <v>7</v>
      </c>
      <c r="I3" s="223">
        <f t="shared" ref="I3" si="5">H3+1</f>
        <v>8</v>
      </c>
      <c r="J3" s="223">
        <f t="shared" ref="J3" si="6">I3+1</f>
        <v>9</v>
      </c>
      <c r="K3" s="223">
        <f t="shared" ref="K3" si="7">J3+1</f>
        <v>10</v>
      </c>
      <c r="L3" s="223">
        <f t="shared" ref="L3" si="8">K3+1</f>
        <v>11</v>
      </c>
      <c r="M3" s="223">
        <f t="shared" ref="M3" si="9">L3+1</f>
        <v>12</v>
      </c>
      <c r="N3" s="223">
        <f t="shared" ref="N3" si="10">M3+1</f>
        <v>13</v>
      </c>
      <c r="O3" s="223">
        <f t="shared" ref="O3" si="11">N3+1</f>
        <v>14</v>
      </c>
      <c r="P3" s="223">
        <f t="shared" ref="P3" si="12">O3+1</f>
        <v>15</v>
      </c>
      <c r="Q3" s="223">
        <f t="shared" ref="Q3" si="13">P3+1</f>
        <v>16</v>
      </c>
      <c r="R3" s="223">
        <f t="shared" ref="R3" si="14">Q3+1</f>
        <v>17</v>
      </c>
      <c r="S3" s="223">
        <f t="shared" ref="S3" si="15">R3+1</f>
        <v>18</v>
      </c>
      <c r="T3" s="223">
        <f t="shared" ref="T3" si="16">S3+1</f>
        <v>19</v>
      </c>
      <c r="U3" s="223">
        <f t="shared" ref="U3" si="17">T3+1</f>
        <v>20</v>
      </c>
      <c r="V3" s="223">
        <f t="shared" ref="V3" si="18">U3+1</f>
        <v>21</v>
      </c>
      <c r="W3" s="223">
        <f t="shared" ref="W3" si="19">V3+1</f>
        <v>22</v>
      </c>
      <c r="X3" s="223">
        <f t="shared" ref="X3" si="20">W3+1</f>
        <v>23</v>
      </c>
      <c r="Y3" s="223">
        <f t="shared" ref="Y3" si="21">X3+1</f>
        <v>24</v>
      </c>
      <c r="Z3" s="223">
        <f t="shared" ref="Z3" si="22">Y3+1</f>
        <v>25</v>
      </c>
      <c r="AA3" s="223">
        <f t="shared" ref="AA3" si="23">Z3+1</f>
        <v>26</v>
      </c>
      <c r="AB3" s="223">
        <f t="shared" ref="AB3" si="24">AA3+1</f>
        <v>27</v>
      </c>
    </row>
    <row r="4" spans="1:29" ht="127.2" customHeight="1" thickBot="1" x14ac:dyDescent="0.3">
      <c r="A4" s="586"/>
      <c r="B4" s="588" t="s">
        <v>368</v>
      </c>
      <c r="C4" s="589" t="s">
        <v>247</v>
      </c>
      <c r="D4" s="589" t="s">
        <v>248</v>
      </c>
      <c r="E4" s="589" t="s">
        <v>244</v>
      </c>
      <c r="F4" s="589" t="s">
        <v>271</v>
      </c>
      <c r="G4" s="589" t="s">
        <v>351</v>
      </c>
      <c r="H4" s="589" t="s">
        <v>249</v>
      </c>
      <c r="I4" s="589" t="s">
        <v>251</v>
      </c>
      <c r="J4" s="589" t="s">
        <v>272</v>
      </c>
      <c r="K4" s="589" t="s">
        <v>367</v>
      </c>
      <c r="L4" s="589" t="s">
        <v>275</v>
      </c>
      <c r="M4" s="589" t="s">
        <v>266</v>
      </c>
      <c r="N4" s="589" t="s">
        <v>256</v>
      </c>
      <c r="O4" s="589" t="s">
        <v>274</v>
      </c>
      <c r="P4" s="589" t="s">
        <v>279</v>
      </c>
      <c r="Q4" s="589" t="s">
        <v>142</v>
      </c>
      <c r="R4" s="589" t="s">
        <v>356</v>
      </c>
      <c r="S4" s="589" t="s">
        <v>354</v>
      </c>
      <c r="T4" s="589" t="s">
        <v>359</v>
      </c>
      <c r="U4" s="589" t="s">
        <v>365</v>
      </c>
      <c r="V4" s="589" t="s">
        <v>366</v>
      </c>
      <c r="W4" s="589" t="s">
        <v>357</v>
      </c>
      <c r="X4" s="589" t="s">
        <v>358</v>
      </c>
      <c r="Y4" s="589" t="s">
        <v>369</v>
      </c>
      <c r="Z4" s="589" t="s">
        <v>370</v>
      </c>
      <c r="AA4" s="590" t="s">
        <v>353</v>
      </c>
      <c r="AB4" s="515" t="s">
        <v>13</v>
      </c>
    </row>
    <row r="5" spans="1:29" s="27" customFormat="1" ht="18.75" customHeight="1" thickBot="1" x14ac:dyDescent="0.3">
      <c r="A5" s="587" t="s">
        <v>7</v>
      </c>
      <c r="B5" s="591" t="s">
        <v>15</v>
      </c>
      <c r="C5" s="551" t="s">
        <v>15</v>
      </c>
      <c r="D5" s="551" t="s">
        <v>15</v>
      </c>
      <c r="E5" s="551" t="s">
        <v>15</v>
      </c>
      <c r="F5" s="551" t="s">
        <v>15</v>
      </c>
      <c r="G5" s="551" t="s">
        <v>15</v>
      </c>
      <c r="H5" s="551" t="s">
        <v>15</v>
      </c>
      <c r="I5" s="551" t="s">
        <v>15</v>
      </c>
      <c r="J5" s="551" t="s">
        <v>15</v>
      </c>
      <c r="K5" s="551" t="s">
        <v>15</v>
      </c>
      <c r="L5" s="551" t="s">
        <v>15</v>
      </c>
      <c r="M5" s="551" t="s">
        <v>15</v>
      </c>
      <c r="N5" s="551" t="s">
        <v>15</v>
      </c>
      <c r="O5" s="551" t="s">
        <v>15</v>
      </c>
      <c r="P5" s="551" t="s">
        <v>15</v>
      </c>
      <c r="Q5" s="551" t="s">
        <v>15</v>
      </c>
      <c r="R5" s="551" t="s">
        <v>15</v>
      </c>
      <c r="S5" s="551" t="s">
        <v>15</v>
      </c>
      <c r="T5" s="551" t="s">
        <v>15</v>
      </c>
      <c r="U5" s="551" t="s">
        <v>15</v>
      </c>
      <c r="V5" s="551" t="s">
        <v>15</v>
      </c>
      <c r="W5" s="551" t="s">
        <v>15</v>
      </c>
      <c r="X5" s="551" t="s">
        <v>15</v>
      </c>
      <c r="Y5" s="551" t="s">
        <v>15</v>
      </c>
      <c r="Z5" s="551" t="s">
        <v>15</v>
      </c>
      <c r="AA5" s="592" t="s">
        <v>15</v>
      </c>
      <c r="AB5" s="553" t="s">
        <v>15</v>
      </c>
    </row>
    <row r="6" spans="1:29" s="9" customFormat="1" ht="15.6" x14ac:dyDescent="0.3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16"/>
    </row>
    <row r="7" spans="1:29" s="9" customFormat="1" ht="15.6" x14ac:dyDescent="0.3">
      <c r="A7" s="2" t="s">
        <v>20</v>
      </c>
      <c r="B7" s="121">
        <v>0.85</v>
      </c>
      <c r="C7" s="122">
        <v>1.58236</v>
      </c>
      <c r="D7" s="121"/>
      <c r="E7" s="121">
        <f>0.300677</f>
        <v>0.30067700000000003</v>
      </c>
      <c r="F7" s="121">
        <f>0.405053</f>
        <v>0.405053</v>
      </c>
      <c r="G7" s="121"/>
      <c r="H7" s="121"/>
      <c r="I7" s="121"/>
      <c r="J7" s="121"/>
      <c r="K7" s="121">
        <v>-0.245</v>
      </c>
      <c r="L7" s="121">
        <f>-15.496+15.267</f>
        <v>-0.22900000000000098</v>
      </c>
      <c r="M7" s="121">
        <v>1.742</v>
      </c>
      <c r="N7" s="121">
        <v>0.14267299999999999</v>
      </c>
      <c r="O7" s="121">
        <v>-0.36</v>
      </c>
      <c r="P7" s="121">
        <v>0.103215</v>
      </c>
      <c r="Q7" s="121">
        <f>'Table 3'!DH8</f>
        <v>0</v>
      </c>
      <c r="R7" s="122">
        <v>1.454</v>
      </c>
      <c r="S7" s="122"/>
      <c r="T7" s="122">
        <v>9.8539999999999992</v>
      </c>
      <c r="U7" s="122">
        <v>0.20599999999999999</v>
      </c>
      <c r="V7" s="122">
        <v>7.6999999999999999E-2</v>
      </c>
      <c r="W7" s="122">
        <v>28.8</v>
      </c>
      <c r="X7" s="122">
        <v>35.700000000000003</v>
      </c>
      <c r="Y7" s="122">
        <v>11.2</v>
      </c>
      <c r="Z7" s="122">
        <v>1.216</v>
      </c>
      <c r="AA7" s="122"/>
      <c r="AB7" s="517">
        <f>SUM(B7:AA7)</f>
        <v>92.798978000000005</v>
      </c>
    </row>
    <row r="8" spans="1:29" s="9" customFormat="1" ht="15.6" x14ac:dyDescent="0.3">
      <c r="A8" s="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517"/>
    </row>
    <row r="9" spans="1:29" ht="15.6" x14ac:dyDescent="0.25">
      <c r="A9" s="2" t="s">
        <v>29</v>
      </c>
      <c r="B9" s="121">
        <v>0.96299999999999997</v>
      </c>
      <c r="C9" s="121">
        <v>1.8897999999999999</v>
      </c>
      <c r="D9" s="121"/>
      <c r="E9" s="121">
        <f>1.9999</f>
        <v>1.9999</v>
      </c>
      <c r="F9" s="121">
        <f>2.170316</f>
        <v>2.1703160000000001</v>
      </c>
      <c r="G9" s="121">
        <v>0.28699999999999998</v>
      </c>
      <c r="H9" s="121"/>
      <c r="I9" s="121"/>
      <c r="J9" s="121"/>
      <c r="K9" s="121">
        <v>-0.28599999999999998</v>
      </c>
      <c r="L9" s="121"/>
      <c r="M9" s="121">
        <v>2.6890000000000001</v>
      </c>
      <c r="N9" s="121">
        <v>0.15981400000000001</v>
      </c>
      <c r="O9" s="121"/>
      <c r="P9" s="121">
        <v>0.12901899999999999</v>
      </c>
      <c r="Q9" s="121">
        <f>'Table 3'!DH10</f>
        <v>0</v>
      </c>
      <c r="R9" s="121">
        <v>1.9650000000000001</v>
      </c>
      <c r="S9" s="121"/>
      <c r="T9" s="121">
        <v>10.285</v>
      </c>
      <c r="U9" s="121">
        <v>0</v>
      </c>
      <c r="V9" s="121">
        <v>0.11899999999999999</v>
      </c>
      <c r="W9" s="121">
        <v>33.299999999999997</v>
      </c>
      <c r="X9" s="121">
        <v>41.3</v>
      </c>
      <c r="Y9" s="121">
        <v>10.286</v>
      </c>
      <c r="Z9" s="121">
        <v>1.893</v>
      </c>
      <c r="AA9" s="122"/>
      <c r="AB9" s="517">
        <f>SUM(B9:AA9)</f>
        <v>109.14984899999999</v>
      </c>
    </row>
    <row r="10" spans="1:29" x14ac:dyDescent="0.25">
      <c r="A10" s="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518"/>
    </row>
    <row r="11" spans="1:29" ht="15.6" x14ac:dyDescent="0.25">
      <c r="A11" s="2" t="s">
        <v>21</v>
      </c>
      <c r="B11" s="122">
        <v>0.75700000000000001</v>
      </c>
      <c r="C11" s="122">
        <v>1.304594</v>
      </c>
      <c r="D11" s="121"/>
      <c r="E11" s="122"/>
      <c r="F11" s="122">
        <f>0.298316</f>
        <v>0.29831600000000003</v>
      </c>
      <c r="G11" s="122"/>
      <c r="H11" s="122"/>
      <c r="I11" s="122"/>
      <c r="J11" s="122"/>
      <c r="K11" s="122">
        <v>-0.17399999999999999</v>
      </c>
      <c r="L11" s="122"/>
      <c r="M11" s="122">
        <v>1.2490000000000001</v>
      </c>
      <c r="N11" s="122">
        <v>0.13952100000000001</v>
      </c>
      <c r="O11" s="122"/>
      <c r="P11" s="122">
        <v>7.7410999999999994E-2</v>
      </c>
      <c r="Q11" s="122">
        <f>'Table 3'!DH12</f>
        <v>0</v>
      </c>
      <c r="R11" s="122">
        <v>0.38200000000000001</v>
      </c>
      <c r="S11" s="122"/>
      <c r="T11" s="122">
        <v>8.0830000000000002</v>
      </c>
      <c r="U11" s="122">
        <v>0.17399999999999999</v>
      </c>
      <c r="V11" s="122">
        <v>5.5E-2</v>
      </c>
      <c r="W11" s="122">
        <v>20.3</v>
      </c>
      <c r="X11" s="122">
        <v>25.1</v>
      </c>
      <c r="Y11" s="122">
        <v>9.0399999999999991</v>
      </c>
      <c r="Z11" s="122">
        <v>1.1439999999999999</v>
      </c>
      <c r="AA11" s="122"/>
      <c r="AB11" s="517">
        <f>SUM(B11:AA11)</f>
        <v>67.929842000000008</v>
      </c>
    </row>
    <row r="12" spans="1:29" ht="15.6" x14ac:dyDescent="0.25">
      <c r="A12" s="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517"/>
    </row>
    <row r="13" spans="1:29" s="9" customFormat="1" ht="15.6" x14ac:dyDescent="0.3">
      <c r="A13" s="2" t="s">
        <v>134</v>
      </c>
      <c r="B13" s="121">
        <v>0.70499999999999996</v>
      </c>
      <c r="C13" s="121">
        <v>1.3866149999999999</v>
      </c>
      <c r="D13" s="121">
        <v>2.9000000000000001E-2</v>
      </c>
      <c r="E13" s="121"/>
      <c r="F13" s="121">
        <f>0.249053</f>
        <v>0.249053</v>
      </c>
      <c r="G13" s="121"/>
      <c r="H13" s="121"/>
      <c r="I13" s="121"/>
      <c r="J13" s="121"/>
      <c r="K13" s="121">
        <v>-0.191</v>
      </c>
      <c r="L13" s="121"/>
      <c r="M13" s="121">
        <v>1.3440000000000001</v>
      </c>
      <c r="N13" s="121">
        <v>0.113912</v>
      </c>
      <c r="O13" s="121"/>
      <c r="P13" s="121">
        <v>9.0313000000000004E-2</v>
      </c>
      <c r="Q13" s="121">
        <f>'Table 3'!DH14</f>
        <v>0</v>
      </c>
      <c r="R13" s="121">
        <v>1.335</v>
      </c>
      <c r="S13" s="121"/>
      <c r="T13" s="121">
        <v>9.6329999999999991</v>
      </c>
      <c r="U13" s="121">
        <v>0.158</v>
      </c>
      <c r="V13" s="121">
        <v>5.8999999999999997E-2</v>
      </c>
      <c r="W13" s="121">
        <v>22.8</v>
      </c>
      <c r="X13" s="121">
        <v>28.3</v>
      </c>
      <c r="Y13" s="121">
        <v>6.0609999999999999</v>
      </c>
      <c r="Z13" s="121">
        <v>1.1439999999999999</v>
      </c>
      <c r="AA13" s="122"/>
      <c r="AB13" s="517">
        <f>SUM(B13:AA13)</f>
        <v>73.216892999999999</v>
      </c>
    </row>
    <row r="14" spans="1:29" s="9" customFormat="1" ht="15.6" x14ac:dyDescent="0.3">
      <c r="A14" s="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517"/>
    </row>
    <row r="15" spans="1:29" s="9" customFormat="1" ht="15.6" x14ac:dyDescent="0.3">
      <c r="A15" s="2" t="s">
        <v>23</v>
      </c>
      <c r="B15" s="121">
        <v>0.64300000000000002</v>
      </c>
      <c r="C15" s="121">
        <v>1.1431739999999999</v>
      </c>
      <c r="D15" s="121"/>
      <c r="E15" s="121"/>
      <c r="F15" s="121">
        <f>0.213474</f>
        <v>0.213474</v>
      </c>
      <c r="G15" s="121"/>
      <c r="H15" s="121"/>
      <c r="I15" s="121">
        <v>0.25</v>
      </c>
      <c r="J15" s="121">
        <f>-0.968+0.837</f>
        <v>-0.13100000000000001</v>
      </c>
      <c r="K15" s="121">
        <v>-0.16500000000000001</v>
      </c>
      <c r="L15" s="121"/>
      <c r="M15" s="121">
        <v>1.4319999999999999</v>
      </c>
      <c r="N15" s="121">
        <v>8.6192000000000005E-2</v>
      </c>
      <c r="O15" s="121"/>
      <c r="P15" s="121">
        <v>9.0313000000000004E-2</v>
      </c>
      <c r="Q15" s="121">
        <f>'Table 3'!DH16</f>
        <v>1.8244000000000149E-2</v>
      </c>
      <c r="R15" s="121">
        <v>1.119</v>
      </c>
      <c r="S15" s="121">
        <f>0.027424</f>
        <v>2.7424E-2</v>
      </c>
      <c r="T15" s="121">
        <v>4.37</v>
      </c>
      <c r="U15" s="121">
        <v>8.0000000000000002E-3</v>
      </c>
      <c r="V15" s="121">
        <v>6.3E-2</v>
      </c>
      <c r="W15" s="121">
        <v>19.2</v>
      </c>
      <c r="X15" s="121">
        <v>23.8</v>
      </c>
      <c r="Y15" s="121">
        <v>6.58</v>
      </c>
      <c r="Z15" s="121">
        <v>1.2270000000000001</v>
      </c>
      <c r="AA15" s="122"/>
      <c r="AB15" s="517">
        <f>SUM(B15:AA15)</f>
        <v>59.974820999999999</v>
      </c>
    </row>
    <row r="16" spans="1:29" x14ac:dyDescent="0.25">
      <c r="A16" s="1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518"/>
    </row>
    <row r="17" spans="1:28" s="9" customFormat="1" ht="18" customHeight="1" x14ac:dyDescent="0.3">
      <c r="A17" s="2" t="s">
        <v>22</v>
      </c>
      <c r="B17" s="121">
        <v>0.38500000000000001</v>
      </c>
      <c r="C17" s="121">
        <v>0.53203400000000001</v>
      </c>
      <c r="D17" s="121"/>
      <c r="E17" s="121">
        <f>1.945973</f>
        <v>1.945973</v>
      </c>
      <c r="F17" s="121">
        <f>0.342105</f>
        <v>0.34210499999999999</v>
      </c>
      <c r="G17" s="121">
        <v>0.44800000000000001</v>
      </c>
      <c r="H17" s="121">
        <v>-0.54900000000000004</v>
      </c>
      <c r="I17" s="121"/>
      <c r="J17" s="121"/>
      <c r="K17" s="121">
        <v>-5.7000000000000002E-2</v>
      </c>
      <c r="L17" s="121"/>
      <c r="M17" s="121">
        <v>0.77800000000000002</v>
      </c>
      <c r="N17" s="121">
        <v>2.6592000000000001E-2</v>
      </c>
      <c r="O17" s="121"/>
      <c r="P17" s="121">
        <v>6.1928999999999998E-2</v>
      </c>
      <c r="Q17" s="121">
        <f>'Table 3'!DH18</f>
        <v>0</v>
      </c>
      <c r="R17" s="121">
        <v>0.28599999999999998</v>
      </c>
      <c r="S17" s="121">
        <f>-0.020391-0.027424</f>
        <v>-4.7814999999999996E-2</v>
      </c>
      <c r="T17" s="121">
        <v>0.99</v>
      </c>
      <c r="U17" s="121">
        <v>8.9999999999999993E-3</v>
      </c>
      <c r="V17" s="121">
        <v>3.4000000000000002E-2</v>
      </c>
      <c r="W17" s="121">
        <v>6.3</v>
      </c>
      <c r="X17" s="121">
        <v>7.9</v>
      </c>
      <c r="Y17" s="121">
        <v>3.47</v>
      </c>
      <c r="Z17" s="121">
        <v>0.42199999999999999</v>
      </c>
      <c r="AA17" s="122"/>
      <c r="AB17" s="517">
        <f>SUM(B17:AA17)</f>
        <v>23.276818000000002</v>
      </c>
    </row>
    <row r="18" spans="1:28" s="9" customFormat="1" ht="15.6" x14ac:dyDescent="0.3">
      <c r="A18" s="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519"/>
    </row>
    <row r="19" spans="1:28" s="9" customFormat="1" ht="15.6" x14ac:dyDescent="0.3">
      <c r="A19" s="2" t="s">
        <v>135</v>
      </c>
      <c r="B19" s="121">
        <v>0.64700000000000002</v>
      </c>
      <c r="C19" s="121">
        <v>1.235824</v>
      </c>
      <c r="D19" s="121"/>
      <c r="E19" s="121"/>
      <c r="F19" s="121">
        <f>0.251789</f>
        <v>0.25178899999999999</v>
      </c>
      <c r="G19" s="121"/>
      <c r="H19" s="121"/>
      <c r="I19" s="121"/>
      <c r="J19" s="121"/>
      <c r="K19" s="121">
        <v>-0.16400000000000001</v>
      </c>
      <c r="L19" s="121"/>
      <c r="M19" s="121">
        <v>1.0660000000000001</v>
      </c>
      <c r="N19" s="121">
        <v>0.10352600000000001</v>
      </c>
      <c r="O19" s="121"/>
      <c r="P19" s="121">
        <v>7.7410999999999994E-2</v>
      </c>
      <c r="Q19" s="121">
        <f>'Table 3'!DH20</f>
        <v>-0.25366399999999967</v>
      </c>
      <c r="R19" s="121">
        <v>1.347</v>
      </c>
      <c r="S19" s="121">
        <f>0.020391</f>
        <v>2.0390999999999999E-2</v>
      </c>
      <c r="T19" s="121">
        <v>8.1120000000000001</v>
      </c>
      <c r="U19" s="121">
        <v>8.0000000000000002E-3</v>
      </c>
      <c r="V19" s="121">
        <v>4.7E-2</v>
      </c>
      <c r="W19" s="121">
        <v>19.3</v>
      </c>
      <c r="X19" s="121">
        <v>24</v>
      </c>
      <c r="Y19" s="121">
        <v>8.3940000000000001</v>
      </c>
      <c r="Z19" s="121">
        <v>0.95399999999999996</v>
      </c>
      <c r="AA19" s="122">
        <v>-0.57499999999999996</v>
      </c>
      <c r="AB19" s="517">
        <f>SUM(B19:AA19)</f>
        <v>64.571276999999995</v>
      </c>
    </row>
    <row r="20" spans="1:28" ht="16.2" thickBot="1" x14ac:dyDescent="0.3">
      <c r="A20" s="2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520"/>
    </row>
    <row r="21" spans="1:28" s="44" customFormat="1" ht="16.2" thickBot="1" x14ac:dyDescent="0.35">
      <c r="A21" s="33" t="s">
        <v>0</v>
      </c>
      <c r="B21" s="54">
        <f t="shared" ref="B21:AB21" si="25">+B19+B7+B9+B11+B13+B15+B17</f>
        <v>4.95</v>
      </c>
      <c r="C21" s="54">
        <f t="shared" si="25"/>
        <v>9.0744009999999982</v>
      </c>
      <c r="D21" s="54">
        <f t="shared" si="25"/>
        <v>2.9000000000000001E-2</v>
      </c>
      <c r="E21" s="54">
        <f t="shared" si="25"/>
        <v>4.24655</v>
      </c>
      <c r="F21" s="54">
        <f t="shared" si="25"/>
        <v>3.9301059999999999</v>
      </c>
      <c r="G21" s="54">
        <f t="shared" si="25"/>
        <v>0.73499999999999999</v>
      </c>
      <c r="H21" s="54">
        <f t="shared" si="25"/>
        <v>-0.54900000000000004</v>
      </c>
      <c r="I21" s="54">
        <f t="shared" si="25"/>
        <v>0.25</v>
      </c>
      <c r="J21" s="54">
        <f t="shared" si="25"/>
        <v>-0.13100000000000001</v>
      </c>
      <c r="K21" s="54">
        <f t="shared" si="25"/>
        <v>-1.282</v>
      </c>
      <c r="L21" s="54">
        <f t="shared" si="25"/>
        <v>-0.22900000000000098</v>
      </c>
      <c r="M21" s="54">
        <f t="shared" si="25"/>
        <v>10.3</v>
      </c>
      <c r="N21" s="54">
        <f t="shared" si="25"/>
        <v>0.77222999999999997</v>
      </c>
      <c r="O21" s="54">
        <f t="shared" si="25"/>
        <v>-0.36</v>
      </c>
      <c r="P21" s="54">
        <f t="shared" si="25"/>
        <v>0.62961100000000003</v>
      </c>
      <c r="Q21" s="54">
        <f t="shared" si="25"/>
        <v>-0.23541999999999952</v>
      </c>
      <c r="R21" s="54">
        <f t="shared" si="25"/>
        <v>7.887999999999999</v>
      </c>
      <c r="S21" s="54">
        <f t="shared" si="25"/>
        <v>0</v>
      </c>
      <c r="T21" s="54">
        <f t="shared" si="25"/>
        <v>51.326999999999998</v>
      </c>
      <c r="U21" s="54">
        <f t="shared" si="25"/>
        <v>0.56300000000000006</v>
      </c>
      <c r="V21" s="54">
        <f t="shared" si="25"/>
        <v>0.45399999999999996</v>
      </c>
      <c r="W21" s="54">
        <f t="shared" si="25"/>
        <v>150</v>
      </c>
      <c r="X21" s="54">
        <f t="shared" si="25"/>
        <v>186.10000000000002</v>
      </c>
      <c r="Y21" s="54">
        <f t="shared" si="25"/>
        <v>55.030999999999999</v>
      </c>
      <c r="Z21" s="54">
        <f t="shared" si="25"/>
        <v>8</v>
      </c>
      <c r="AA21" s="514">
        <f t="shared" si="25"/>
        <v>-0.57499999999999996</v>
      </c>
      <c r="AB21" s="521">
        <f t="shared" si="25"/>
        <v>490.91847799999999</v>
      </c>
    </row>
    <row r="22" spans="1:28" ht="15.6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246"/>
      <c r="AB22" s="34"/>
    </row>
    <row r="23" spans="1:28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8" ht="15.6" x14ac:dyDescent="0.3">
      <c r="E24" s="113"/>
      <c r="F24" s="113"/>
      <c r="G24" s="113"/>
      <c r="H24" s="113"/>
      <c r="I24" s="113"/>
      <c r="J24" s="113"/>
      <c r="K24" s="11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202"/>
    </row>
    <row r="25" spans="1:28" ht="15.6" x14ac:dyDescent="0.3">
      <c r="C25" s="113"/>
      <c r="D25" s="113"/>
      <c r="E25" s="113"/>
      <c r="F25" s="113"/>
      <c r="G25" s="113"/>
      <c r="H25" s="113"/>
      <c r="I25" s="113"/>
      <c r="J25" s="113"/>
      <c r="K25" s="233"/>
      <c r="L25" s="113"/>
      <c r="M25" s="34"/>
      <c r="N25" s="113"/>
      <c r="O25" s="113"/>
      <c r="P25" s="113"/>
      <c r="AA25" s="233"/>
    </row>
    <row r="26" spans="1:28" x14ac:dyDescent="0.25">
      <c r="AB26" s="113"/>
    </row>
  </sheetData>
  <phoneticPr fontId="13" type="noConversion"/>
  <printOptions horizontalCentered="1"/>
  <pageMargins left="0.77" right="0.74803149606299213" top="0.98425196850393704" bottom="0.98425196850393704" header="0.51181102362204722" footer="0.51181102362204722"/>
  <pageSetup paperSize="9" scale="2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L25"/>
  <sheetViews>
    <sheetView zoomScale="70" zoomScaleNormal="60" workbookViewId="0">
      <selection activeCell="A21" sqref="A3:D21"/>
    </sheetView>
  </sheetViews>
  <sheetFormatPr defaultColWidth="8.90625" defaultRowHeight="15" x14ac:dyDescent="0.25"/>
  <cols>
    <col min="1" max="1" width="40.54296875" style="8" customWidth="1"/>
    <col min="2" max="2" width="12.54296875" style="8" customWidth="1"/>
    <col min="3" max="3" width="13.36328125" style="8" customWidth="1"/>
    <col min="4" max="4" width="15.08984375" style="8" customWidth="1"/>
    <col min="5" max="5" width="18" style="8" bestFit="1" customWidth="1"/>
    <col min="6" max="6" width="11" style="8" bestFit="1" customWidth="1"/>
    <col min="7" max="7" width="8.90625" style="295"/>
    <col min="8" max="16384" width="8.90625" style="8"/>
  </cols>
  <sheetData>
    <row r="1" spans="1:12" ht="15.6" x14ac:dyDescent="0.3">
      <c r="A1" s="5" t="s">
        <v>372</v>
      </c>
      <c r="B1" s="25"/>
      <c r="C1" s="25"/>
      <c r="D1" s="25"/>
    </row>
    <row r="2" spans="1:12" ht="16.2" thickBot="1" x14ac:dyDescent="0.35">
      <c r="B2" s="25"/>
      <c r="C2" s="25"/>
      <c r="D2" s="25"/>
    </row>
    <row r="3" spans="1:12" s="26" customFormat="1" ht="16.5" customHeight="1" thickBot="1" x14ac:dyDescent="0.3">
      <c r="A3" s="47"/>
      <c r="B3" s="223">
        <v>1</v>
      </c>
      <c r="C3" s="223">
        <v>2</v>
      </c>
      <c r="D3" s="556">
        <v>3</v>
      </c>
      <c r="G3" s="295"/>
    </row>
    <row r="4" spans="1:12" ht="96" customHeight="1" thickBot="1" x14ac:dyDescent="0.3">
      <c r="A4" s="40"/>
      <c r="B4" s="120" t="s">
        <v>363</v>
      </c>
      <c r="C4" s="120" t="s">
        <v>371</v>
      </c>
      <c r="D4" s="515" t="s">
        <v>194</v>
      </c>
      <c r="H4" s="26"/>
      <c r="I4" s="26"/>
      <c r="J4" s="26"/>
      <c r="K4" s="26"/>
      <c r="L4" s="26"/>
    </row>
    <row r="5" spans="1:12" s="27" customFormat="1" ht="18.75" customHeight="1" thickBot="1" x14ac:dyDescent="0.3">
      <c r="A5" s="550" t="s">
        <v>7</v>
      </c>
      <c r="B5" s="551" t="s">
        <v>15</v>
      </c>
      <c r="C5" s="552" t="s">
        <v>15</v>
      </c>
      <c r="D5" s="555" t="s">
        <v>15</v>
      </c>
      <c r="G5" s="295"/>
    </row>
    <row r="6" spans="1:12" s="9" customFormat="1" ht="15.6" x14ac:dyDescent="0.3">
      <c r="A6" s="554"/>
      <c r="B6" s="150"/>
      <c r="C6" s="150"/>
      <c r="D6" s="516"/>
      <c r="G6" s="295"/>
    </row>
    <row r="7" spans="1:12" s="9" customFormat="1" ht="15.6" x14ac:dyDescent="0.3">
      <c r="A7" s="2" t="s">
        <v>20</v>
      </c>
      <c r="B7" s="509"/>
      <c r="C7" s="122">
        <v>46.946080000000002</v>
      </c>
      <c r="D7" s="517">
        <f>SUM(B7:C7)</f>
        <v>46.946080000000002</v>
      </c>
      <c r="F7" s="162"/>
      <c r="G7" s="295"/>
    </row>
    <row r="8" spans="1:12" s="9" customFormat="1" ht="15.6" x14ac:dyDescent="0.3">
      <c r="A8" s="2"/>
      <c r="B8" s="509"/>
      <c r="C8" s="122"/>
      <c r="D8" s="517"/>
      <c r="F8" s="162"/>
      <c r="G8" s="295"/>
    </row>
    <row r="9" spans="1:12" ht="15.6" x14ac:dyDescent="0.25">
      <c r="A9" s="2" t="s">
        <v>29</v>
      </c>
      <c r="B9" s="510"/>
      <c r="C9" s="122">
        <v>54.811390000000003</v>
      </c>
      <c r="D9" s="517">
        <f>SUM(B9:C9)</f>
        <v>54.811390000000003</v>
      </c>
      <c r="F9" s="163"/>
    </row>
    <row r="10" spans="1:12" ht="15.6" x14ac:dyDescent="0.25">
      <c r="A10" s="1"/>
      <c r="B10" s="511"/>
      <c r="C10" s="122"/>
      <c r="D10" s="518"/>
      <c r="F10" s="163"/>
    </row>
    <row r="11" spans="1:12" ht="15.6" x14ac:dyDescent="0.25">
      <c r="A11" s="2" t="s">
        <v>21</v>
      </c>
      <c r="B11" s="509"/>
      <c r="C11" s="122">
        <v>33.427579999999999</v>
      </c>
      <c r="D11" s="517">
        <f>SUM(B11:C11)</f>
        <v>33.427579999999999</v>
      </c>
      <c r="F11" s="163"/>
    </row>
    <row r="12" spans="1:12" ht="15.6" x14ac:dyDescent="0.25">
      <c r="A12" s="2"/>
      <c r="B12" s="509"/>
      <c r="C12" s="122"/>
      <c r="D12" s="517"/>
    </row>
    <row r="13" spans="1:12" s="9" customFormat="1" ht="15.6" x14ac:dyDescent="0.3">
      <c r="A13" s="2" t="s">
        <v>134</v>
      </c>
      <c r="B13" s="509"/>
      <c r="C13" s="122">
        <v>36.622860000000003</v>
      </c>
      <c r="D13" s="517">
        <f>SUM(B13:C13)</f>
        <v>36.622860000000003</v>
      </c>
      <c r="G13" s="295"/>
    </row>
    <row r="14" spans="1:12" s="9" customFormat="1" ht="15.6" x14ac:dyDescent="0.3">
      <c r="A14" s="2"/>
      <c r="B14" s="509"/>
      <c r="C14" s="122"/>
      <c r="D14" s="517"/>
      <c r="G14" s="295"/>
    </row>
    <row r="15" spans="1:12" s="9" customFormat="1" ht="15.6" x14ac:dyDescent="0.3">
      <c r="A15" s="2" t="s">
        <v>23</v>
      </c>
      <c r="B15" s="509"/>
      <c r="C15" s="122">
        <v>31.707039999999999</v>
      </c>
      <c r="D15" s="517">
        <f>SUM(B15:C15)</f>
        <v>31.707039999999999</v>
      </c>
      <c r="G15" s="295"/>
    </row>
    <row r="16" spans="1:12" ht="15.6" x14ac:dyDescent="0.25">
      <c r="A16" s="1"/>
      <c r="B16" s="511"/>
      <c r="C16" s="122"/>
      <c r="D16" s="518"/>
    </row>
    <row r="17" spans="1:7" s="9" customFormat="1" ht="15.6" x14ac:dyDescent="0.3">
      <c r="A17" s="2" t="s">
        <v>22</v>
      </c>
      <c r="B17" s="509"/>
      <c r="C17" s="122">
        <v>10.8148</v>
      </c>
      <c r="D17" s="517">
        <f>SUM(B17:C17)</f>
        <v>10.8148</v>
      </c>
      <c r="G17" s="295"/>
    </row>
    <row r="18" spans="1:7" s="9" customFormat="1" ht="15.6" x14ac:dyDescent="0.3">
      <c r="A18" s="2"/>
      <c r="B18" s="510"/>
      <c r="C18" s="122"/>
      <c r="D18" s="519"/>
      <c r="G18" s="295"/>
    </row>
    <row r="19" spans="1:7" s="9" customFormat="1" ht="15.6" x14ac:dyDescent="0.3">
      <c r="A19" s="2" t="s">
        <v>135</v>
      </c>
      <c r="B19" s="509"/>
      <c r="C19" s="122">
        <v>31.46125</v>
      </c>
      <c r="D19" s="517">
        <f>SUM(B19:C19)</f>
        <v>31.46125</v>
      </c>
      <c r="F19" s="162"/>
      <c r="G19" s="295"/>
    </row>
    <row r="20" spans="1:7" ht="16.2" thickBot="1" x14ac:dyDescent="0.3">
      <c r="A20" s="2"/>
      <c r="B20" s="197"/>
      <c r="C20" s="197"/>
      <c r="D20" s="520"/>
    </row>
    <row r="21" spans="1:7" ht="16.2" thickBot="1" x14ac:dyDescent="0.35">
      <c r="A21" s="33" t="s">
        <v>0</v>
      </c>
      <c r="B21" s="54">
        <f t="shared" ref="B21:D21" si="0">+B19+B7+B9+B11+B13+B15+B17</f>
        <v>0</v>
      </c>
      <c r="C21" s="514">
        <f t="shared" si="0"/>
        <v>245.79100000000003</v>
      </c>
      <c r="D21" s="521">
        <f t="shared" si="0"/>
        <v>245.79100000000003</v>
      </c>
    </row>
    <row r="23" spans="1:7" x14ac:dyDescent="0.25">
      <c r="B23" s="113"/>
      <c r="C23" s="113"/>
    </row>
    <row r="24" spans="1:7" ht="15.6" x14ac:dyDescent="0.3">
      <c r="A24" s="142"/>
      <c r="B24" s="113"/>
    </row>
    <row r="25" spans="1:7" x14ac:dyDescent="0.25">
      <c r="B25" s="113"/>
    </row>
  </sheetData>
  <printOptions horizontalCentered="1"/>
  <pageMargins left="0.77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  <pageSetUpPr fitToPage="1"/>
  </sheetPr>
  <dimension ref="A1:W69"/>
  <sheetViews>
    <sheetView zoomScale="70" zoomScaleNormal="70" workbookViewId="0">
      <selection activeCell="O5" sqref="O5:O22"/>
    </sheetView>
  </sheetViews>
  <sheetFormatPr defaultColWidth="8.90625" defaultRowHeight="15" x14ac:dyDescent="0.25"/>
  <cols>
    <col min="1" max="1" width="44.453125" style="8" customWidth="1"/>
    <col min="2" max="2" width="9.90625" style="8" customWidth="1"/>
    <col min="3" max="3" width="10.453125" style="273" customWidth="1"/>
    <col min="4" max="4" width="10.1796875" style="36" customWidth="1"/>
    <col min="5" max="5" width="9.08984375" style="36" customWidth="1"/>
    <col min="6" max="6" width="8.90625" style="36" customWidth="1"/>
    <col min="7" max="7" width="11.81640625" style="36" customWidth="1"/>
    <col min="8" max="8" width="9.90625" style="36" customWidth="1"/>
    <col min="9" max="9" width="10.81640625" style="36" customWidth="1"/>
    <col min="10" max="10" width="11.81640625" style="36" customWidth="1"/>
    <col min="11" max="11" width="11.26953125" style="36" customWidth="1"/>
    <col min="12" max="12" width="9.90625" style="36" customWidth="1"/>
    <col min="13" max="13" width="12" style="36" customWidth="1"/>
    <col min="14" max="14" width="9.90625" style="36" customWidth="1"/>
    <col min="15" max="15" width="14" style="8" customWidth="1"/>
    <col min="16" max="16" width="8.54296875" style="8" customWidth="1"/>
    <col min="17" max="17" width="8.90625" style="8"/>
    <col min="18" max="18" width="17.6328125" style="8" bestFit="1" customWidth="1"/>
    <col min="19" max="22" width="8.90625" style="8"/>
    <col min="23" max="23" width="16.1796875" style="8" customWidth="1"/>
    <col min="24" max="16384" width="8.90625" style="8"/>
  </cols>
  <sheetData>
    <row r="1" spans="1:23" ht="15.6" x14ac:dyDescent="0.3">
      <c r="A1" s="9" t="s">
        <v>234</v>
      </c>
      <c r="B1" s="9"/>
      <c r="C1" s="36"/>
    </row>
    <row r="2" spans="1:23" ht="15.6" x14ac:dyDescent="0.3">
      <c r="A2" s="142" t="s">
        <v>373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3" ht="15.6" thickBot="1" x14ac:dyDescent="0.3"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3" s="250" customFormat="1" ht="16.2" thickBot="1" x14ac:dyDescent="0.35">
      <c r="A4" s="38"/>
      <c r="B4" s="195">
        <v>1</v>
      </c>
      <c r="C4" s="195">
        <f t="shared" ref="C4:D4" si="0">+B4+1</f>
        <v>2</v>
      </c>
      <c r="D4" s="195">
        <f t="shared" si="0"/>
        <v>3</v>
      </c>
      <c r="E4" s="195">
        <f t="shared" ref="E4" si="1">+D4+1</f>
        <v>4</v>
      </c>
      <c r="F4" s="195">
        <f t="shared" ref="F4" si="2">+E4+1</f>
        <v>5</v>
      </c>
      <c r="G4" s="195">
        <f t="shared" ref="G4" si="3">+F4+1</f>
        <v>6</v>
      </c>
      <c r="H4" s="195">
        <f t="shared" ref="H4" si="4">+G4+1</f>
        <v>7</v>
      </c>
      <c r="I4" s="195">
        <f t="shared" ref="I4" si="5">+H4+1</f>
        <v>8</v>
      </c>
      <c r="J4" s="195">
        <f t="shared" ref="J4" si="6">+I4+1</f>
        <v>9</v>
      </c>
      <c r="K4" s="195">
        <f t="shared" ref="K4" si="7">+J4+1</f>
        <v>10</v>
      </c>
      <c r="L4" s="195">
        <f t="shared" ref="L4" si="8">+K4+1</f>
        <v>11</v>
      </c>
      <c r="M4" s="195">
        <f t="shared" ref="M4" si="9">+L4+1</f>
        <v>12</v>
      </c>
      <c r="N4" s="195">
        <f t="shared" ref="N4:O4" si="10">+M4+1</f>
        <v>13</v>
      </c>
      <c r="O4" s="560">
        <f t="shared" si="10"/>
        <v>14</v>
      </c>
    </row>
    <row r="5" spans="1:23" ht="209.1" customHeight="1" thickBot="1" x14ac:dyDescent="0.3">
      <c r="A5" s="251"/>
      <c r="B5" s="58" t="s">
        <v>185</v>
      </c>
      <c r="C5" s="252" t="s">
        <v>186</v>
      </c>
      <c r="D5" s="179" t="s">
        <v>192</v>
      </c>
      <c r="E5" s="179" t="s">
        <v>280</v>
      </c>
      <c r="F5" s="179" t="s">
        <v>187</v>
      </c>
      <c r="G5" s="179" t="s">
        <v>200</v>
      </c>
      <c r="H5" s="179" t="s">
        <v>188</v>
      </c>
      <c r="I5" s="179" t="s">
        <v>360</v>
      </c>
      <c r="J5" s="179" t="s">
        <v>245</v>
      </c>
      <c r="K5" s="179" t="s">
        <v>374</v>
      </c>
      <c r="L5" s="179" t="s">
        <v>209</v>
      </c>
      <c r="M5" s="179" t="s">
        <v>206</v>
      </c>
      <c r="N5" s="179" t="s">
        <v>350</v>
      </c>
      <c r="O5" s="561" t="s">
        <v>235</v>
      </c>
    </row>
    <row r="6" spans="1:23" s="255" customFormat="1" ht="15.75" customHeight="1" x14ac:dyDescent="0.25">
      <c r="A6" s="96"/>
      <c r="B6" s="253" t="s">
        <v>15</v>
      </c>
      <c r="C6" s="253" t="s">
        <v>15</v>
      </c>
      <c r="D6" s="97" t="s">
        <v>15</v>
      </c>
      <c r="E6" s="97" t="s">
        <v>15</v>
      </c>
      <c r="F6" s="254" t="s">
        <v>15</v>
      </c>
      <c r="G6" s="254" t="s">
        <v>15</v>
      </c>
      <c r="H6" s="254" t="s">
        <v>15</v>
      </c>
      <c r="I6" s="56" t="s">
        <v>15</v>
      </c>
      <c r="J6" s="254" t="s">
        <v>15</v>
      </c>
      <c r="K6" s="254" t="s">
        <v>15</v>
      </c>
      <c r="L6" s="254" t="s">
        <v>15</v>
      </c>
      <c r="M6" s="56" t="s">
        <v>15</v>
      </c>
      <c r="N6" s="513" t="s">
        <v>15</v>
      </c>
      <c r="O6" s="562" t="s">
        <v>15</v>
      </c>
      <c r="W6" s="8"/>
    </row>
    <row r="7" spans="1:23" s="9" customFormat="1" ht="15.6" x14ac:dyDescent="0.3">
      <c r="A7" s="3"/>
      <c r="B7" s="256"/>
      <c r="C7" s="257"/>
      <c r="D7" s="258"/>
      <c r="E7" s="149"/>
      <c r="F7" s="149"/>
      <c r="G7" s="259"/>
      <c r="H7" s="259"/>
      <c r="I7" s="70"/>
      <c r="J7" s="259"/>
      <c r="K7" s="259"/>
      <c r="L7" s="259"/>
      <c r="M7" s="70"/>
      <c r="N7" s="390"/>
      <c r="O7" s="563"/>
      <c r="U7" s="255"/>
      <c r="V7" s="255"/>
      <c r="W7" s="8"/>
    </row>
    <row r="8" spans="1:23" s="9" customFormat="1" ht="15.6" x14ac:dyDescent="0.3">
      <c r="A8" s="2" t="s">
        <v>20</v>
      </c>
      <c r="B8" s="256">
        <v>13.799727499999999</v>
      </c>
      <c r="C8" s="256">
        <f>'Table 4 24 25 with analysis'!B8</f>
        <v>50.863414422084333</v>
      </c>
      <c r="D8" s="256">
        <f>'Table 2'!G7</f>
        <v>117.75323090000001</v>
      </c>
      <c r="E8" s="260">
        <f>0.97215-0.01+0.363344+0.06+0.248</f>
        <v>1.633494</v>
      </c>
      <c r="F8" s="24">
        <v>1.9039999999999999</v>
      </c>
      <c r="G8" s="261">
        <f>1.642+0.207+0.904</f>
        <v>2.7530000000000001</v>
      </c>
      <c r="H8" s="261">
        <v>0.42465999999999998</v>
      </c>
      <c r="I8" s="121"/>
      <c r="J8" s="261">
        <v>22.604737395262603</v>
      </c>
      <c r="K8" s="261">
        <v>3.94</v>
      </c>
      <c r="L8" s="261">
        <v>2.6860400000000002</v>
      </c>
      <c r="M8" s="121">
        <f>24.49184+0.191+0.113167</f>
        <v>24.796006999999999</v>
      </c>
      <c r="N8" s="391">
        <v>2.2919999999999998</v>
      </c>
      <c r="O8" s="564">
        <f>SUM(B8:N8)</f>
        <v>245.45031121734695</v>
      </c>
      <c r="P8" s="5"/>
      <c r="Q8" s="262"/>
      <c r="U8" s="255"/>
      <c r="V8" s="255"/>
      <c r="W8" s="8"/>
    </row>
    <row r="9" spans="1:23" s="9" customFormat="1" ht="15.6" x14ac:dyDescent="0.3">
      <c r="A9" s="2"/>
      <c r="B9" s="256"/>
      <c r="C9" s="256"/>
      <c r="D9" s="256"/>
      <c r="E9" s="260"/>
      <c r="F9" s="24"/>
      <c r="G9" s="261"/>
      <c r="H9" s="261"/>
      <c r="I9" s="121"/>
      <c r="J9" s="261"/>
      <c r="K9" s="261"/>
      <c r="L9" s="261"/>
      <c r="M9" s="121"/>
      <c r="N9" s="391"/>
      <c r="O9" s="564"/>
      <c r="P9" s="5"/>
      <c r="Q9" s="263"/>
      <c r="U9" s="255"/>
      <c r="V9" s="255"/>
      <c r="W9" s="8"/>
    </row>
    <row r="10" spans="1:23" s="9" customFormat="1" ht="15.6" x14ac:dyDescent="0.3">
      <c r="A10" s="55" t="s">
        <v>29</v>
      </c>
      <c r="B10" s="256">
        <v>17.214145000000002</v>
      </c>
      <c r="C10" s="256">
        <f>'Table 4 24 25 with analysis'!B10</f>
        <v>39.81942535350214</v>
      </c>
      <c r="D10" s="256">
        <f>'Table 2'!G9</f>
        <v>157.95645099999996</v>
      </c>
      <c r="E10" s="260">
        <f>1.298164+0.06+1.07</f>
        <v>2.4281640000000002</v>
      </c>
      <c r="F10" s="24">
        <v>2.3119999999999998</v>
      </c>
      <c r="G10" s="261">
        <f>2.625+0.904</f>
        <v>3.5289999999999999</v>
      </c>
      <c r="H10" s="261">
        <v>0</v>
      </c>
      <c r="I10" s="121">
        <v>82</v>
      </c>
      <c r="J10" s="261">
        <v>27.101732898267105</v>
      </c>
      <c r="K10" s="261">
        <v>7.4450000000000003</v>
      </c>
      <c r="L10" s="261">
        <v>3.1257799999999998</v>
      </c>
      <c r="M10" s="121">
        <f>29.44268+0.213+0.012675</f>
        <v>29.668355000000002</v>
      </c>
      <c r="N10" s="391">
        <v>2.6539999999999999</v>
      </c>
      <c r="O10" s="564">
        <f>SUM(B10:N10)</f>
        <v>375.25405325176928</v>
      </c>
      <c r="Q10" s="262"/>
      <c r="U10" s="255"/>
      <c r="V10" s="255"/>
      <c r="W10" s="8"/>
    </row>
    <row r="11" spans="1:23" s="9" customFormat="1" ht="15.6" x14ac:dyDescent="0.3">
      <c r="A11" s="2"/>
      <c r="B11" s="256"/>
      <c r="C11" s="256"/>
      <c r="D11" s="256"/>
      <c r="E11" s="260"/>
      <c r="F11" s="24"/>
      <c r="G11" s="261"/>
      <c r="H11" s="261"/>
      <c r="I11" s="123"/>
      <c r="J11" s="261"/>
      <c r="K11" s="261"/>
      <c r="L11" s="261"/>
      <c r="M11" s="123"/>
      <c r="N11" s="392"/>
      <c r="O11" s="564"/>
      <c r="P11" s="5"/>
      <c r="Q11" s="263"/>
      <c r="U11" s="255"/>
      <c r="V11" s="255"/>
      <c r="W11" s="8"/>
    </row>
    <row r="12" spans="1:23" s="9" customFormat="1" ht="15.6" x14ac:dyDescent="0.3">
      <c r="A12" s="2" t="s">
        <v>21</v>
      </c>
      <c r="B12" s="256">
        <v>0.48799600000000237</v>
      </c>
      <c r="C12" s="256">
        <f>'Table 4 24 25 with analysis'!B12</f>
        <v>33.790068263336273</v>
      </c>
      <c r="D12" s="256">
        <f>'Table 2'!G11</f>
        <v>116.82591259999997</v>
      </c>
      <c r="E12" s="260">
        <f>0.701547+0.06+0.815</f>
        <v>1.5765469999999999</v>
      </c>
      <c r="F12" s="24">
        <v>1.5149999999999999</v>
      </c>
      <c r="G12" s="261">
        <f>4.5+0.17+0.904</f>
        <v>5.5739999999999998</v>
      </c>
      <c r="H12" s="261">
        <v>0.34782000000000002</v>
      </c>
      <c r="I12" s="261"/>
      <c r="J12" s="261">
        <v>15.965624034375963</v>
      </c>
      <c r="K12" s="261">
        <v>6.9</v>
      </c>
      <c r="L12" s="261">
        <v>1.8701199999999996</v>
      </c>
      <c r="M12" s="261">
        <f>17.51594+0.144+0.030668</f>
        <v>17.690607999999997</v>
      </c>
      <c r="N12" s="393">
        <v>1.615</v>
      </c>
      <c r="O12" s="564">
        <f>SUM(B12:N12)</f>
        <v>204.15869589771222</v>
      </c>
      <c r="Q12" s="262"/>
      <c r="U12" s="255"/>
      <c r="V12" s="255"/>
      <c r="W12" s="8"/>
    </row>
    <row r="13" spans="1:23" s="9" customFormat="1" ht="15.6" x14ac:dyDescent="0.3">
      <c r="A13" s="2"/>
      <c r="B13" s="256"/>
      <c r="C13" s="256"/>
      <c r="D13" s="256"/>
      <c r="E13" s="260"/>
      <c r="F13" s="24"/>
      <c r="G13" s="261"/>
      <c r="H13" s="261"/>
      <c r="I13" s="261"/>
      <c r="J13" s="261"/>
      <c r="K13" s="261"/>
      <c r="L13" s="261"/>
      <c r="M13" s="261"/>
      <c r="N13" s="393"/>
      <c r="O13" s="564"/>
      <c r="Q13" s="263"/>
      <c r="U13" s="255"/>
      <c r="V13" s="255"/>
      <c r="W13" s="8"/>
    </row>
    <row r="14" spans="1:23" s="9" customFormat="1" ht="15.6" x14ac:dyDescent="0.3">
      <c r="A14" s="2" t="s">
        <v>134</v>
      </c>
      <c r="B14" s="256">
        <v>0</v>
      </c>
      <c r="C14" s="256">
        <f>'Table 4 24 25 with analysis'!B14</f>
        <v>33.976911796493859</v>
      </c>
      <c r="D14" s="256">
        <f>'Table 2'!G13</f>
        <v>112.55018293796552</v>
      </c>
      <c r="E14" s="260">
        <f>0.5184+0.146722426955815+0.06</f>
        <v>0.72512242695581497</v>
      </c>
      <c r="F14" s="24">
        <v>1.4379999999999999</v>
      </c>
      <c r="G14" s="261">
        <f>0.141+1.38+0.904</f>
        <v>2.4249999999999998</v>
      </c>
      <c r="H14" s="261">
        <v>0.28849000000000002</v>
      </c>
      <c r="I14" s="261"/>
      <c r="J14" s="261">
        <v>18.425621574378425</v>
      </c>
      <c r="K14" s="261">
        <v>7.3</v>
      </c>
      <c r="L14" s="261">
        <v>2.1365400000000001</v>
      </c>
      <c r="M14" s="261">
        <f>20.14472+0.161+0.08732</f>
        <v>20.393039999999999</v>
      </c>
      <c r="N14" s="393">
        <v>1.8160000000000001</v>
      </c>
      <c r="O14" s="564">
        <f>SUM(B14:N14)</f>
        <v>201.4749087357936</v>
      </c>
      <c r="Q14" s="262"/>
      <c r="U14" s="255"/>
      <c r="V14" s="255"/>
      <c r="W14" s="8"/>
    </row>
    <row r="15" spans="1:23" ht="15.6" x14ac:dyDescent="0.25">
      <c r="A15" s="1"/>
      <c r="B15" s="264"/>
      <c r="C15" s="30"/>
      <c r="D15" s="31"/>
      <c r="E15" s="260"/>
      <c r="F15" s="24"/>
      <c r="G15" s="261"/>
      <c r="H15" s="261"/>
      <c r="I15" s="261"/>
      <c r="J15" s="261"/>
      <c r="K15" s="261"/>
      <c r="L15" s="261"/>
      <c r="M15" s="261"/>
      <c r="N15" s="393"/>
      <c r="O15" s="564"/>
      <c r="Q15" s="265"/>
      <c r="U15" s="255"/>
      <c r="V15" s="255"/>
    </row>
    <row r="16" spans="1:23" s="9" customFormat="1" ht="15.6" x14ac:dyDescent="0.3">
      <c r="A16" s="2" t="s">
        <v>23</v>
      </c>
      <c r="B16" s="256">
        <f>7.908875+0.754</f>
        <v>8.6628749999999997</v>
      </c>
      <c r="C16" s="256">
        <f>'Table 4 24 25 with analysis'!B16</f>
        <v>27.787469647376337</v>
      </c>
      <c r="D16" s="256">
        <f>'Table 2'!G15</f>
        <v>91.336911299999983</v>
      </c>
      <c r="E16" s="260">
        <f>0.707608+0.06+0.025</f>
        <v>0.79260800000000009</v>
      </c>
      <c r="F16" s="24">
        <v>1.28</v>
      </c>
      <c r="G16" s="261">
        <f>1.041+0.137+0.904</f>
        <v>2.0819999999999999</v>
      </c>
      <c r="H16" s="261">
        <v>0.28134999999999999</v>
      </c>
      <c r="I16" s="261"/>
      <c r="J16" s="261">
        <v>15.347144652855345</v>
      </c>
      <c r="K16" s="261">
        <v>4.9000000000000004</v>
      </c>
      <c r="L16" s="261">
        <v>1.7704399999999998</v>
      </c>
      <c r="M16" s="261">
        <f>16.92104+0.121</f>
        <v>17.04204</v>
      </c>
      <c r="N16" s="393">
        <v>1.528</v>
      </c>
      <c r="O16" s="564">
        <f>SUM(B16:N16)</f>
        <v>172.81083860023168</v>
      </c>
      <c r="Q16" s="262"/>
      <c r="U16" s="255"/>
      <c r="V16" s="255"/>
      <c r="W16" s="8"/>
    </row>
    <row r="17" spans="1:23" s="9" customFormat="1" ht="15.6" x14ac:dyDescent="0.3">
      <c r="A17" s="2"/>
      <c r="B17" s="256"/>
      <c r="C17" s="256"/>
      <c r="D17" s="256"/>
      <c r="E17" s="260"/>
      <c r="F17" s="24"/>
      <c r="G17" s="261"/>
      <c r="H17" s="261"/>
      <c r="I17" s="261"/>
      <c r="J17" s="261"/>
      <c r="K17" s="261"/>
      <c r="L17" s="261"/>
      <c r="M17" s="261"/>
      <c r="N17" s="393"/>
      <c r="O17" s="564"/>
      <c r="Q17" s="263"/>
      <c r="U17" s="255"/>
      <c r="V17" s="255"/>
      <c r="W17" s="8"/>
    </row>
    <row r="18" spans="1:23" ht="15.6" x14ac:dyDescent="0.3">
      <c r="A18" s="2" t="s">
        <v>22</v>
      </c>
      <c r="B18" s="256">
        <v>7.4937849999999999</v>
      </c>
      <c r="C18" s="256">
        <f>'Table 4 24 25 with analysis'!B18</f>
        <v>5.8567808479233694</v>
      </c>
      <c r="D18" s="256">
        <f>'Table 2'!G17</f>
        <v>32.934502299999998</v>
      </c>
      <c r="E18" s="260">
        <f>0.254074+0.01+0.06+0.05</f>
        <v>0.37407400000000002</v>
      </c>
      <c r="F18" s="24">
        <v>0.45100000000000001</v>
      </c>
      <c r="G18" s="261">
        <f>0.024+0.15</f>
        <v>0.17399999999999999</v>
      </c>
      <c r="H18" s="261">
        <v>4.8959999999999997E-2</v>
      </c>
      <c r="I18" s="261"/>
      <c r="J18" s="261">
        <v>5.3071146928853077</v>
      </c>
      <c r="K18" s="261">
        <v>0</v>
      </c>
      <c r="L18" s="261">
        <v>0.58267999999999998</v>
      </c>
      <c r="M18" s="261">
        <f>6.34492+0.041</f>
        <v>6.3859200000000005</v>
      </c>
      <c r="N18" s="393">
        <v>0.50600000000000001</v>
      </c>
      <c r="O18" s="564">
        <f>SUM(B18:N18)</f>
        <v>60.114816840808679</v>
      </c>
      <c r="Q18" s="262"/>
      <c r="U18" s="255"/>
      <c r="V18" s="255"/>
    </row>
    <row r="19" spans="1:23" ht="15.6" x14ac:dyDescent="0.3">
      <c r="A19" s="86"/>
      <c r="B19" s="256"/>
      <c r="C19" s="266"/>
      <c r="D19" s="266"/>
      <c r="E19" s="267"/>
      <c r="F19" s="268"/>
      <c r="G19" s="269"/>
      <c r="H19" s="269"/>
      <c r="I19" s="269"/>
      <c r="J19" s="269"/>
      <c r="K19" s="269"/>
      <c r="L19" s="269"/>
      <c r="M19" s="269"/>
      <c r="N19" s="557"/>
      <c r="O19" s="564"/>
      <c r="Q19" s="262"/>
      <c r="U19" s="255"/>
      <c r="V19" s="255"/>
    </row>
    <row r="20" spans="1:23" s="9" customFormat="1" ht="15.6" x14ac:dyDescent="0.3">
      <c r="A20" s="86" t="s">
        <v>135</v>
      </c>
      <c r="B20" s="256">
        <v>22.903748999999998</v>
      </c>
      <c r="C20" s="256">
        <f>'Table 4 24 25 with analysis'!B20</f>
        <v>28.535710674741622</v>
      </c>
      <c r="D20" s="256">
        <f>'Table 2'!G19</f>
        <v>101.5994722620345</v>
      </c>
      <c r="E20" s="260">
        <f>0.5235-0.146722426955815+0.06</f>
        <v>0.43677757304418496</v>
      </c>
      <c r="F20" s="24">
        <v>1.2290000000000001</v>
      </c>
      <c r="G20" s="261">
        <f>0.961+0.151+0.151+0.904</f>
        <v>2.1669999999999998</v>
      </c>
      <c r="H20" s="261">
        <v>0.30871999999999999</v>
      </c>
      <c r="I20" s="261"/>
      <c r="J20" s="261">
        <v>15.248024751975249</v>
      </c>
      <c r="K20" s="261">
        <v>19.5</v>
      </c>
      <c r="L20" s="261">
        <v>1.8283999999999998</v>
      </c>
      <c r="M20" s="261">
        <f>16.79586+0.129</f>
        <v>16.924860000000002</v>
      </c>
      <c r="N20" s="393">
        <v>1.5389999999999999</v>
      </c>
      <c r="O20" s="564">
        <f>SUM(B20:N20)</f>
        <v>212.22071426179554</v>
      </c>
      <c r="Q20" s="262"/>
      <c r="U20" s="255"/>
      <c r="V20" s="255"/>
      <c r="W20" s="8"/>
    </row>
    <row r="21" spans="1:23" ht="16.2" thickBot="1" x14ac:dyDescent="0.35">
      <c r="A21" s="62"/>
      <c r="B21" s="270"/>
      <c r="C21" s="30"/>
      <c r="D21" s="30"/>
      <c r="E21" s="258"/>
      <c r="F21" s="558"/>
      <c r="G21" s="271"/>
      <c r="H21" s="271"/>
      <c r="I21" s="271"/>
      <c r="J21" s="271"/>
      <c r="K21" s="271"/>
      <c r="L21" s="271"/>
      <c r="M21" s="271"/>
      <c r="N21" s="558"/>
      <c r="O21" s="565"/>
      <c r="U21" s="255"/>
      <c r="V21" s="255"/>
    </row>
    <row r="22" spans="1:23" s="18" customFormat="1" ht="21.75" customHeight="1" thickBot="1" x14ac:dyDescent="0.3">
      <c r="A22" s="502" t="s">
        <v>0</v>
      </c>
      <c r="B22" s="503">
        <f t="shared" ref="B22:O22" si="11">+B10+B20+B16+B18+B14+B12+B8</f>
        <v>70.562277500000008</v>
      </c>
      <c r="C22" s="503">
        <f t="shared" si="11"/>
        <v>220.62978100545794</v>
      </c>
      <c r="D22" s="503">
        <f t="shared" si="11"/>
        <v>730.95666329999995</v>
      </c>
      <c r="E22" s="503">
        <f t="shared" si="11"/>
        <v>7.9667869999999992</v>
      </c>
      <c r="F22" s="503">
        <f t="shared" si="11"/>
        <v>10.129</v>
      </c>
      <c r="G22" s="503">
        <f t="shared" si="11"/>
        <v>18.704000000000001</v>
      </c>
      <c r="H22" s="503">
        <f t="shared" si="11"/>
        <v>1.7</v>
      </c>
      <c r="I22" s="503">
        <f t="shared" si="11"/>
        <v>82</v>
      </c>
      <c r="J22" s="503">
        <f t="shared" si="11"/>
        <v>120</v>
      </c>
      <c r="K22" s="503">
        <f t="shared" si="11"/>
        <v>49.984999999999992</v>
      </c>
      <c r="L22" s="503">
        <f t="shared" si="11"/>
        <v>13.999999999999998</v>
      </c>
      <c r="M22" s="503">
        <f t="shared" si="11"/>
        <v>132.90082999999998</v>
      </c>
      <c r="N22" s="559">
        <f t="shared" si="11"/>
        <v>11.950000000000001</v>
      </c>
      <c r="O22" s="566">
        <f t="shared" si="11"/>
        <v>1471.484338805458</v>
      </c>
      <c r="P22" s="12"/>
      <c r="U22" s="255"/>
      <c r="V22" s="255"/>
      <c r="W22" s="44"/>
    </row>
    <row r="23" spans="1:23" x14ac:dyDescent="0.25">
      <c r="C23" s="3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72"/>
      <c r="P23" s="194"/>
      <c r="U23" s="255"/>
      <c r="V23" s="255"/>
    </row>
    <row r="24" spans="1:23" x14ac:dyDescent="0.25">
      <c r="C24" s="36"/>
      <c r="I24" s="39"/>
      <c r="L24" s="8"/>
      <c r="M24" s="8"/>
      <c r="N24" s="8"/>
      <c r="U24" s="255"/>
      <c r="V24" s="255"/>
    </row>
    <row r="25" spans="1:23" ht="15.6" x14ac:dyDescent="0.3">
      <c r="C25" s="36"/>
      <c r="I25" s="39"/>
      <c r="O25" s="288">
        <v>1315.541505805458</v>
      </c>
      <c r="P25" s="289" t="s">
        <v>261</v>
      </c>
      <c r="Q25" s="290"/>
      <c r="R25" s="290"/>
    </row>
    <row r="26" spans="1:23" x14ac:dyDescent="0.25">
      <c r="C26" s="36"/>
      <c r="I26" s="39"/>
      <c r="O26" s="291">
        <f>0.3+25.843</f>
        <v>26.143000000000001</v>
      </c>
      <c r="P26" s="299" t="s">
        <v>352</v>
      </c>
      <c r="Q26" s="290"/>
      <c r="R26" s="290"/>
    </row>
    <row r="27" spans="1:23" x14ac:dyDescent="0.25">
      <c r="C27" s="36"/>
      <c r="I27" s="39"/>
      <c r="O27" s="504">
        <v>0.24382999999999999</v>
      </c>
      <c r="P27" s="299" t="s">
        <v>255</v>
      </c>
      <c r="Q27" s="290"/>
      <c r="R27" s="290"/>
    </row>
    <row r="28" spans="1:23" s="44" customFormat="1" x14ac:dyDescent="0.25"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504">
        <v>0.42</v>
      </c>
      <c r="P28" s="299" t="s">
        <v>267</v>
      </c>
      <c r="Q28" s="299"/>
      <c r="R28" s="299"/>
    </row>
    <row r="29" spans="1:23" s="44" customFormat="1" x14ac:dyDescent="0.25"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504">
        <f>220.629781-155.636781</f>
        <v>64.992999999999995</v>
      </c>
      <c r="P29" s="299" t="s">
        <v>268</v>
      </c>
      <c r="Q29" s="299"/>
      <c r="R29" s="299"/>
    </row>
    <row r="30" spans="1:23" s="409" customFormat="1" x14ac:dyDescent="0.25"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504">
        <v>2.2080000000000002</v>
      </c>
      <c r="P30" s="299" t="s">
        <v>281</v>
      </c>
      <c r="Q30" s="411"/>
      <c r="R30" s="411"/>
    </row>
    <row r="31" spans="1:23" s="409" customFormat="1" x14ac:dyDescent="0.25"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504">
        <v>11.95</v>
      </c>
      <c r="P31" s="299" t="s">
        <v>273</v>
      </c>
      <c r="Q31" s="411"/>
      <c r="R31" s="411"/>
    </row>
    <row r="32" spans="1:23" x14ac:dyDescent="0.25">
      <c r="C32" s="36"/>
      <c r="O32" s="291">
        <v>49.984999999999999</v>
      </c>
      <c r="P32" s="299" t="s">
        <v>355</v>
      </c>
      <c r="Q32" s="290"/>
      <c r="R32" s="290"/>
    </row>
    <row r="33" spans="3:18" ht="15.6" x14ac:dyDescent="0.3">
      <c r="C33" s="36"/>
      <c r="O33" s="288">
        <f>SUM(O25:O32)</f>
        <v>1471.4843358054579</v>
      </c>
      <c r="P33" s="289" t="s">
        <v>236</v>
      </c>
      <c r="Q33" s="291"/>
      <c r="R33" s="292"/>
    </row>
    <row r="34" spans="3:18" x14ac:dyDescent="0.25">
      <c r="C34" s="36"/>
    </row>
    <row r="35" spans="3:18" x14ac:dyDescent="0.25">
      <c r="C35" s="36"/>
    </row>
    <row r="36" spans="3:18" x14ac:dyDescent="0.25">
      <c r="C36" s="36"/>
    </row>
    <row r="37" spans="3:18" x14ac:dyDescent="0.25">
      <c r="C37" s="36"/>
    </row>
    <row r="38" spans="3:18" x14ac:dyDescent="0.25">
      <c r="C38" s="36"/>
    </row>
    <row r="39" spans="3:18" x14ac:dyDescent="0.25">
      <c r="C39" s="36"/>
    </row>
    <row r="40" spans="3:18" x14ac:dyDescent="0.25">
      <c r="C40" s="36"/>
    </row>
    <row r="41" spans="3:18" x14ac:dyDescent="0.25">
      <c r="C41" s="36"/>
    </row>
    <row r="42" spans="3:18" x14ac:dyDescent="0.25">
      <c r="C42" s="36"/>
    </row>
    <row r="43" spans="3:18" x14ac:dyDescent="0.25">
      <c r="C43" s="36"/>
    </row>
    <row r="44" spans="3:18" x14ac:dyDescent="0.25">
      <c r="C44" s="36"/>
    </row>
    <row r="45" spans="3:18" x14ac:dyDescent="0.25">
      <c r="C45" s="36"/>
    </row>
    <row r="46" spans="3:18" x14ac:dyDescent="0.25">
      <c r="C46" s="36"/>
    </row>
    <row r="47" spans="3:18" x14ac:dyDescent="0.25">
      <c r="C47" s="36"/>
    </row>
    <row r="48" spans="3:18" x14ac:dyDescent="0.25">
      <c r="C48" s="36"/>
    </row>
    <row r="49" spans="3:3" x14ac:dyDescent="0.25">
      <c r="C49" s="36"/>
    </row>
    <row r="50" spans="3:3" x14ac:dyDescent="0.25">
      <c r="C50" s="36"/>
    </row>
    <row r="51" spans="3:3" x14ac:dyDescent="0.25">
      <c r="C51" s="36"/>
    </row>
    <row r="52" spans="3:3" x14ac:dyDescent="0.25">
      <c r="C52" s="36"/>
    </row>
    <row r="53" spans="3:3" x14ac:dyDescent="0.25">
      <c r="C53" s="36"/>
    </row>
    <row r="54" spans="3:3" x14ac:dyDescent="0.25">
      <c r="C54" s="36"/>
    </row>
    <row r="55" spans="3:3" x14ac:dyDescent="0.25">
      <c r="C55" s="36"/>
    </row>
    <row r="56" spans="3:3" x14ac:dyDescent="0.25">
      <c r="C56" s="36"/>
    </row>
    <row r="57" spans="3:3" x14ac:dyDescent="0.25">
      <c r="C57" s="36"/>
    </row>
    <row r="58" spans="3:3" x14ac:dyDescent="0.25">
      <c r="C58" s="36"/>
    </row>
    <row r="59" spans="3:3" x14ac:dyDescent="0.25">
      <c r="C59" s="36"/>
    </row>
    <row r="60" spans="3:3" x14ac:dyDescent="0.25">
      <c r="C60" s="36"/>
    </row>
    <row r="61" spans="3:3" x14ac:dyDescent="0.25">
      <c r="C61" s="36"/>
    </row>
    <row r="62" spans="3:3" x14ac:dyDescent="0.25">
      <c r="C62" s="36"/>
    </row>
    <row r="63" spans="3:3" x14ac:dyDescent="0.25">
      <c r="C63" s="36"/>
    </row>
    <row r="64" spans="3:3" x14ac:dyDescent="0.25">
      <c r="C64" s="36"/>
    </row>
    <row r="65" spans="3:3" x14ac:dyDescent="0.25">
      <c r="C65" s="36"/>
    </row>
    <row r="66" spans="3:3" x14ac:dyDescent="0.25">
      <c r="C66" s="36"/>
    </row>
    <row r="67" spans="3:3" x14ac:dyDescent="0.25">
      <c r="C67" s="36"/>
    </row>
    <row r="68" spans="3:3" x14ac:dyDescent="0.25">
      <c r="C68" s="36"/>
    </row>
    <row r="69" spans="3:3" x14ac:dyDescent="0.25">
      <c r="C69" s="36"/>
    </row>
  </sheetData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978B-6B00-4FAB-AA61-854BED1B4368}">
  <sheetPr>
    <pageSetUpPr fitToPage="1"/>
  </sheetPr>
  <dimension ref="A1:X105"/>
  <sheetViews>
    <sheetView zoomScale="70" zoomScaleNormal="70" workbookViewId="0">
      <pane xSplit="2" ySplit="5" topLeftCell="C6" activePane="bottomRight" state="frozen"/>
      <selection activeCell="K4" sqref="K4"/>
      <selection pane="topRight" activeCell="K4" sqref="K4"/>
      <selection pane="bottomLeft" activeCell="K4" sqref="K4"/>
      <selection pane="bottomRight" activeCell="C4" sqref="C4"/>
    </sheetView>
  </sheetViews>
  <sheetFormatPr defaultRowHeight="15" x14ac:dyDescent="0.25"/>
  <cols>
    <col min="1" max="1" width="4.6328125" customWidth="1"/>
    <col min="2" max="2" width="63.90625" customWidth="1"/>
    <col min="3" max="3" width="11.1796875" customWidth="1"/>
    <col min="4" max="4" width="1.90625" customWidth="1"/>
    <col min="5" max="5" width="12.81640625" customWidth="1"/>
    <col min="6" max="6" width="2.36328125" customWidth="1"/>
    <col min="7" max="7" width="12.81640625" bestFit="1" customWidth="1"/>
    <col min="8" max="8" width="2.6328125" customWidth="1"/>
    <col min="9" max="9" width="12.08984375" customWidth="1"/>
    <col min="10" max="10" width="1.90625" customWidth="1"/>
    <col min="11" max="11" width="11.1796875" customWidth="1"/>
    <col min="12" max="12" width="2.6328125" customWidth="1"/>
    <col min="13" max="13" width="9.36328125" customWidth="1"/>
    <col min="14" max="14" width="2.453125" customWidth="1"/>
    <col min="15" max="15" width="13" customWidth="1"/>
    <col min="16" max="16" width="1.90625" customWidth="1"/>
    <col min="18" max="18" width="18.36328125" customWidth="1"/>
  </cols>
  <sheetData>
    <row r="1" spans="1:17" ht="15.6" x14ac:dyDescent="0.3">
      <c r="A1" s="9" t="s">
        <v>24</v>
      </c>
    </row>
    <row r="2" spans="1:17" ht="15.6" x14ac:dyDescent="0.3">
      <c r="A2" s="142"/>
    </row>
    <row r="3" spans="1:17" ht="15.6" thickBot="1" x14ac:dyDescent="0.3"/>
    <row r="4" spans="1:17" ht="61.5" customHeight="1" thickBot="1" x14ac:dyDescent="0.3">
      <c r="C4" s="282" t="s">
        <v>20</v>
      </c>
      <c r="D4" s="242"/>
      <c r="E4" s="282" t="s">
        <v>29</v>
      </c>
      <c r="F4" s="242"/>
      <c r="G4" s="282" t="s">
        <v>21</v>
      </c>
      <c r="H4" s="242"/>
      <c r="I4" s="282" t="s">
        <v>134</v>
      </c>
      <c r="J4" s="242"/>
      <c r="K4" s="282" t="s">
        <v>23</v>
      </c>
      <c r="L4" s="242"/>
      <c r="M4" s="282" t="s">
        <v>22</v>
      </c>
      <c r="N4" s="242"/>
      <c r="O4" s="282" t="s">
        <v>135</v>
      </c>
      <c r="P4" s="242"/>
      <c r="Q4" s="282" t="s">
        <v>0</v>
      </c>
    </row>
    <row r="5" spans="1:17" ht="15.6" thickBot="1" x14ac:dyDescent="0.3"/>
    <row r="6" spans="1:17" ht="16.2" thickBot="1" x14ac:dyDescent="0.35">
      <c r="A6" s="298">
        <v>1</v>
      </c>
      <c r="B6" s="284" t="s">
        <v>8</v>
      </c>
      <c r="C6" s="283"/>
      <c r="D6" s="286"/>
      <c r="E6" s="87"/>
      <c r="F6" s="286"/>
      <c r="G6" s="87">
        <v>0.82010499999999997</v>
      </c>
      <c r="H6" s="286"/>
      <c r="I6" s="87"/>
      <c r="J6" s="286"/>
      <c r="K6" s="87"/>
      <c r="L6" s="286"/>
      <c r="M6" s="87"/>
      <c r="N6" s="286"/>
      <c r="O6" s="87"/>
      <c r="P6" s="286"/>
      <c r="Q6" s="87">
        <f>C6+E6+G6+I6+K6+M6+O6</f>
        <v>0.82010499999999997</v>
      </c>
    </row>
    <row r="7" spans="1:17" ht="16.2" thickBot="1" x14ac:dyDescent="0.35">
      <c r="A7" s="9"/>
      <c r="C7" s="87"/>
      <c r="D7" s="286"/>
      <c r="E7" s="87"/>
      <c r="F7" s="286"/>
      <c r="G7" s="87"/>
      <c r="H7" s="286"/>
      <c r="I7" s="87"/>
      <c r="J7" s="286"/>
      <c r="K7" s="87"/>
      <c r="L7" s="286"/>
      <c r="M7" s="87"/>
      <c r="N7" s="286"/>
      <c r="O7" s="87"/>
      <c r="P7" s="286"/>
      <c r="Q7" s="87"/>
    </row>
    <row r="8" spans="1:17" ht="16.2" thickBot="1" x14ac:dyDescent="0.35">
      <c r="A8" s="298">
        <f>A6+1</f>
        <v>2</v>
      </c>
      <c r="B8" s="284" t="s">
        <v>70</v>
      </c>
      <c r="C8" s="283"/>
      <c r="D8" s="286"/>
      <c r="E8" s="87">
        <f>0.306+0.0075</f>
        <v>0.3135</v>
      </c>
      <c r="F8" s="286"/>
      <c r="G8" s="87"/>
      <c r="H8" s="286"/>
      <c r="I8" s="87"/>
      <c r="J8" s="286"/>
      <c r="K8" s="87"/>
      <c r="L8" s="286"/>
      <c r="M8" s="87"/>
      <c r="N8" s="286"/>
      <c r="O8" s="87"/>
      <c r="P8" s="286"/>
      <c r="Q8" s="87">
        <f>C8+E8+G8+I8+K8+M8+O8</f>
        <v>0.3135</v>
      </c>
    </row>
    <row r="9" spans="1:17" ht="16.2" thickBot="1" x14ac:dyDescent="0.35">
      <c r="A9" s="9"/>
      <c r="C9" s="283"/>
      <c r="D9" s="286"/>
      <c r="E9" s="87"/>
      <c r="F9" s="286"/>
      <c r="G9" s="87"/>
      <c r="H9" s="286"/>
      <c r="I9" s="87"/>
      <c r="J9" s="286"/>
      <c r="K9" s="87"/>
      <c r="L9" s="286"/>
      <c r="M9" s="87"/>
      <c r="N9" s="286"/>
      <c r="O9" s="87"/>
      <c r="P9" s="286"/>
      <c r="Q9" s="87"/>
    </row>
    <row r="10" spans="1:17" ht="15" customHeight="1" thickBot="1" x14ac:dyDescent="0.35">
      <c r="A10" s="298">
        <f>A8+1</f>
        <v>3</v>
      </c>
      <c r="B10" s="287" t="s">
        <v>19</v>
      </c>
      <c r="C10" s="283"/>
      <c r="D10" s="286"/>
      <c r="E10" s="87">
        <v>0.199485</v>
      </c>
      <c r="F10" s="286"/>
      <c r="G10" s="87"/>
      <c r="H10" s="286"/>
      <c r="I10" s="87"/>
      <c r="J10" s="286"/>
      <c r="K10" s="87"/>
      <c r="L10" s="286"/>
      <c r="M10" s="87">
        <v>0.26295750000000001</v>
      </c>
      <c r="N10" s="286"/>
      <c r="O10" s="87"/>
      <c r="P10" s="286"/>
      <c r="Q10" s="87">
        <f>C10+E10+G10+I10+K10+M10+O10</f>
        <v>0.46244249999999998</v>
      </c>
    </row>
    <row r="11" spans="1:17" ht="16.2" thickBot="1" x14ac:dyDescent="0.35">
      <c r="A11" s="9"/>
      <c r="C11" s="283"/>
      <c r="D11" s="286"/>
      <c r="E11" s="87"/>
      <c r="F11" s="286"/>
      <c r="G11" s="87"/>
      <c r="H11" s="286"/>
      <c r="I11" s="87"/>
      <c r="J11" s="286"/>
      <c r="K11" s="87"/>
      <c r="L11" s="286"/>
      <c r="M11" s="87"/>
      <c r="N11" s="286"/>
      <c r="O11" s="87"/>
      <c r="P11" s="286"/>
      <c r="Q11" s="87"/>
    </row>
    <row r="12" spans="1:17" ht="16.2" thickBot="1" x14ac:dyDescent="0.35">
      <c r="A12" s="298">
        <f>A10+1</f>
        <v>4</v>
      </c>
      <c r="B12" s="287" t="s">
        <v>39</v>
      </c>
      <c r="C12" s="283"/>
      <c r="D12" s="286"/>
      <c r="E12" s="87"/>
      <c r="F12" s="286"/>
      <c r="G12" s="87">
        <v>5.6000000000000001E-2</v>
      </c>
      <c r="H12" s="286"/>
      <c r="I12" s="87">
        <v>3.5000000000000003E-2</v>
      </c>
      <c r="J12" s="286"/>
      <c r="K12" s="87"/>
      <c r="L12" s="286"/>
      <c r="M12" s="87"/>
      <c r="N12" s="286"/>
      <c r="O12" s="87"/>
      <c r="P12" s="286"/>
      <c r="Q12" s="87">
        <f>C12+E12+G12+I12+K12+M12+O12</f>
        <v>9.0999999999999998E-2</v>
      </c>
    </row>
    <row r="13" spans="1:17" ht="16.2" thickBot="1" x14ac:dyDescent="0.35">
      <c r="A13" s="9"/>
      <c r="C13" s="283"/>
      <c r="D13" s="286"/>
      <c r="E13" s="87"/>
      <c r="F13" s="286"/>
      <c r="G13" s="87"/>
      <c r="H13" s="286"/>
      <c r="I13" s="87"/>
      <c r="J13" s="286"/>
      <c r="K13" s="87"/>
      <c r="L13" s="286"/>
      <c r="M13" s="87"/>
      <c r="N13" s="286"/>
      <c r="O13" s="87"/>
      <c r="P13" s="286"/>
      <c r="Q13" s="87"/>
    </row>
    <row r="14" spans="1:17" ht="17.25" customHeight="1" thickBot="1" x14ac:dyDescent="0.35">
      <c r="A14" s="298">
        <f>A12+1</f>
        <v>5</v>
      </c>
      <c r="B14" s="287" t="s">
        <v>40</v>
      </c>
      <c r="C14" s="283">
        <v>0.66311200000000003</v>
      </c>
      <c r="D14" s="286"/>
      <c r="E14" s="87">
        <v>1.0796920000000001</v>
      </c>
      <c r="F14" s="286"/>
      <c r="G14" s="87">
        <f>26.333506-15</f>
        <v>11.333506</v>
      </c>
      <c r="H14" s="286"/>
      <c r="I14" s="87">
        <v>0.11</v>
      </c>
      <c r="J14" s="286"/>
      <c r="K14" s="87"/>
      <c r="L14" s="286"/>
      <c r="M14" s="87"/>
      <c r="N14" s="286"/>
      <c r="O14" s="87">
        <v>4.2453399999999997</v>
      </c>
      <c r="P14" s="286"/>
      <c r="Q14" s="87">
        <f>C14+E14+G14+I14+K14+M14+O14</f>
        <v>17.431649999999998</v>
      </c>
    </row>
    <row r="15" spans="1:17" ht="16.2" thickBot="1" x14ac:dyDescent="0.35">
      <c r="A15" s="9"/>
      <c r="C15" s="283"/>
      <c r="D15" s="286"/>
      <c r="E15" s="87"/>
      <c r="F15" s="286"/>
      <c r="G15" s="87"/>
      <c r="H15" s="286"/>
      <c r="I15" s="87"/>
      <c r="J15" s="286"/>
      <c r="K15" s="87"/>
      <c r="L15" s="286"/>
      <c r="M15" s="87"/>
      <c r="N15" s="286"/>
      <c r="O15" s="87"/>
      <c r="P15" s="286"/>
      <c r="Q15" s="87"/>
    </row>
    <row r="16" spans="1:17" ht="16.2" thickBot="1" x14ac:dyDescent="0.35">
      <c r="A16" s="298">
        <f>A14+1</f>
        <v>6</v>
      </c>
      <c r="B16" s="287" t="s">
        <v>62</v>
      </c>
      <c r="C16" s="283">
        <v>2.1000000000000001E-2</v>
      </c>
      <c r="D16" s="286"/>
      <c r="E16" s="87">
        <v>0.59499999999999997</v>
      </c>
      <c r="F16" s="286"/>
      <c r="G16" s="87">
        <v>3.6379999999999999</v>
      </c>
      <c r="H16" s="286"/>
      <c r="I16" s="87">
        <f>0.012+0.118670033758932</f>
        <v>0.13067003375893199</v>
      </c>
      <c r="J16" s="286"/>
      <c r="K16" s="87">
        <v>3.9E-2</v>
      </c>
      <c r="L16" s="286"/>
      <c r="M16" s="87"/>
      <c r="N16" s="286"/>
      <c r="O16" s="87">
        <f>0.423-0.118670033758932</f>
        <v>0.30432996624106801</v>
      </c>
      <c r="P16" s="286"/>
      <c r="Q16" s="87">
        <f>C16+E16+G16+I16+K16+M16+O16</f>
        <v>4.7279999999999989</v>
      </c>
    </row>
    <row r="17" spans="1:19" ht="16.2" thickBot="1" x14ac:dyDescent="0.35">
      <c r="A17" s="9"/>
      <c r="C17" s="283"/>
      <c r="D17" s="286"/>
      <c r="E17" s="87"/>
      <c r="F17" s="286"/>
      <c r="G17" s="87"/>
      <c r="H17" s="286"/>
      <c r="I17" s="87"/>
      <c r="J17" s="286"/>
      <c r="K17" s="87"/>
      <c r="L17" s="286"/>
      <c r="M17" s="87"/>
      <c r="N17" s="286"/>
      <c r="O17" s="87"/>
      <c r="P17" s="286"/>
      <c r="Q17" s="87"/>
    </row>
    <row r="18" spans="1:19" ht="18" customHeight="1" thickBot="1" x14ac:dyDescent="0.35">
      <c r="A18" s="298">
        <f>A16+1</f>
        <v>7</v>
      </c>
      <c r="B18" s="287" t="s">
        <v>61</v>
      </c>
      <c r="C18" s="283"/>
      <c r="D18" s="286"/>
      <c r="E18" s="87">
        <v>0.03</v>
      </c>
      <c r="F18" s="286"/>
      <c r="G18" s="87">
        <v>6.6000000000000003E-2</v>
      </c>
      <c r="H18" s="286"/>
      <c r="I18" s="87"/>
      <c r="J18" s="286"/>
      <c r="K18" s="87"/>
      <c r="L18" s="286"/>
      <c r="M18" s="87"/>
      <c r="N18" s="286"/>
      <c r="O18" s="87"/>
      <c r="P18" s="286"/>
      <c r="Q18" s="87">
        <f>C18+E18+G18+I18+K18+M18+O18</f>
        <v>9.6000000000000002E-2</v>
      </c>
    </row>
    <row r="19" spans="1:19" ht="16.2" thickBot="1" x14ac:dyDescent="0.35">
      <c r="A19" s="9"/>
      <c r="C19" s="283"/>
      <c r="D19" s="286"/>
      <c r="E19" s="87"/>
      <c r="F19" s="286"/>
      <c r="G19" s="87"/>
      <c r="H19" s="286"/>
      <c r="I19" s="87"/>
      <c r="J19" s="286"/>
      <c r="K19" s="87"/>
      <c r="L19" s="286"/>
      <c r="M19" s="87"/>
      <c r="N19" s="286"/>
      <c r="O19" s="87"/>
      <c r="P19" s="286"/>
      <c r="Q19" s="87"/>
    </row>
    <row r="20" spans="1:19" ht="18.75" customHeight="1" thickBot="1" x14ac:dyDescent="0.35">
      <c r="A20" s="298">
        <f>A18+1</f>
        <v>8</v>
      </c>
      <c r="B20" s="287" t="s">
        <v>69</v>
      </c>
      <c r="C20" s="283"/>
      <c r="D20" s="286"/>
      <c r="E20" s="87"/>
      <c r="F20" s="286"/>
      <c r="G20" s="87">
        <v>0.31</v>
      </c>
      <c r="H20" s="286"/>
      <c r="I20" s="87"/>
      <c r="J20" s="286"/>
      <c r="K20" s="87"/>
      <c r="L20" s="286"/>
      <c r="M20" s="87"/>
      <c r="N20" s="286"/>
      <c r="O20" s="87"/>
      <c r="P20" s="286"/>
      <c r="Q20" s="87">
        <f>C20+E20+G20+I20+K20+M20+O20</f>
        <v>0.31</v>
      </c>
    </row>
    <row r="21" spans="1:19" ht="16.2" thickBot="1" x14ac:dyDescent="0.35">
      <c r="A21" s="9"/>
      <c r="C21" s="283"/>
      <c r="D21" s="286"/>
      <c r="E21" s="87"/>
      <c r="F21" s="286"/>
      <c r="G21" s="87"/>
      <c r="H21" s="286"/>
      <c r="I21" s="87"/>
      <c r="J21" s="286"/>
      <c r="K21" s="87"/>
      <c r="L21" s="286"/>
      <c r="M21" s="87"/>
      <c r="N21" s="286"/>
      <c r="O21" s="87"/>
      <c r="P21" s="286"/>
      <c r="Q21" s="87"/>
    </row>
    <row r="22" spans="1:19" ht="16.2" thickBot="1" x14ac:dyDescent="0.35">
      <c r="A22" s="298">
        <f>A20+1</f>
        <v>9</v>
      </c>
      <c r="B22" s="287" t="s">
        <v>60</v>
      </c>
      <c r="C22" s="283"/>
      <c r="D22" s="286"/>
      <c r="E22" s="87">
        <f>0.1+0.18</f>
        <v>0.28000000000000003</v>
      </c>
      <c r="F22" s="286"/>
      <c r="G22" s="87"/>
      <c r="H22" s="286"/>
      <c r="I22" s="87"/>
      <c r="J22" s="286"/>
      <c r="K22" s="87"/>
      <c r="L22" s="286"/>
      <c r="M22" s="87"/>
      <c r="N22" s="286"/>
      <c r="O22" s="87"/>
      <c r="P22" s="286"/>
      <c r="Q22" s="87">
        <f>C22+E22+G22+I22+K22+M22+O22</f>
        <v>0.28000000000000003</v>
      </c>
    </row>
    <row r="23" spans="1:19" ht="16.2" thickBot="1" x14ac:dyDescent="0.35">
      <c r="A23" s="9"/>
      <c r="C23" s="283"/>
      <c r="D23" s="286"/>
      <c r="E23" s="87"/>
      <c r="F23" s="286"/>
      <c r="G23" s="87"/>
      <c r="H23" s="286"/>
      <c r="I23" s="87"/>
      <c r="J23" s="286"/>
      <c r="K23" s="87"/>
      <c r="L23" s="286"/>
      <c r="M23" s="87"/>
      <c r="N23" s="286"/>
      <c r="O23" s="87"/>
      <c r="P23" s="286"/>
      <c r="Q23" s="87"/>
    </row>
    <row r="24" spans="1:19" ht="16.2" thickBot="1" x14ac:dyDescent="0.35">
      <c r="A24" s="298">
        <f>A22+1</f>
        <v>10</v>
      </c>
      <c r="B24" s="287" t="s">
        <v>72</v>
      </c>
      <c r="C24" s="283"/>
      <c r="D24" s="286"/>
      <c r="E24" s="87"/>
      <c r="F24" s="286"/>
      <c r="G24" s="87">
        <v>1.1719999999999999</v>
      </c>
      <c r="H24" s="286"/>
      <c r="I24" s="87"/>
      <c r="J24" s="286"/>
      <c r="K24" s="87"/>
      <c r="L24" s="286"/>
      <c r="M24" s="87"/>
      <c r="N24" s="286"/>
      <c r="O24" s="87"/>
      <c r="P24" s="286"/>
      <c r="Q24" s="87">
        <f>C24+E24+G24+I24+K24+M24+O24</f>
        <v>1.1719999999999999</v>
      </c>
    </row>
    <row r="25" spans="1:19" ht="16.2" thickBot="1" x14ac:dyDescent="0.35">
      <c r="A25" s="9"/>
      <c r="C25" s="283"/>
      <c r="D25" s="286"/>
      <c r="E25" s="87"/>
      <c r="F25" s="286"/>
      <c r="G25" s="87"/>
      <c r="H25" s="286"/>
      <c r="I25" s="87"/>
      <c r="J25" s="286"/>
      <c r="K25" s="87"/>
      <c r="L25" s="286"/>
      <c r="M25" s="87"/>
      <c r="N25" s="286"/>
      <c r="O25" s="87"/>
      <c r="P25" s="286"/>
      <c r="Q25" s="87"/>
    </row>
    <row r="26" spans="1:19" ht="16.2" thickBot="1" x14ac:dyDescent="0.35">
      <c r="A26" s="298">
        <f>A24+1</f>
        <v>11</v>
      </c>
      <c r="B26" s="287" t="s">
        <v>73</v>
      </c>
      <c r="C26" s="283"/>
      <c r="D26" s="286"/>
      <c r="E26" s="87"/>
      <c r="F26" s="286"/>
      <c r="G26" s="87">
        <v>0.17299999999999999</v>
      </c>
      <c r="H26" s="286"/>
      <c r="I26" s="87"/>
      <c r="J26" s="286"/>
      <c r="K26" s="87"/>
      <c r="L26" s="286"/>
      <c r="M26" s="87"/>
      <c r="N26" s="286"/>
      <c r="O26" s="87"/>
      <c r="P26" s="286"/>
      <c r="Q26" s="87">
        <f>C26+E26+G26+I26+K26+M26+O26</f>
        <v>0.17299999999999999</v>
      </c>
    </row>
    <row r="27" spans="1:19" ht="16.2" thickBot="1" x14ac:dyDescent="0.35">
      <c r="A27" s="9"/>
      <c r="C27" s="283"/>
      <c r="D27" s="286"/>
      <c r="E27" s="87"/>
      <c r="F27" s="286"/>
      <c r="G27" s="87"/>
      <c r="H27" s="286"/>
      <c r="I27" s="87"/>
      <c r="J27" s="286"/>
      <c r="K27" s="87"/>
      <c r="L27" s="286"/>
      <c r="M27" s="87"/>
      <c r="N27" s="286"/>
      <c r="O27" s="87"/>
      <c r="P27" s="286"/>
      <c r="Q27" s="87"/>
    </row>
    <row r="28" spans="1:19" ht="17.25" customHeight="1" thickBot="1" x14ac:dyDescent="0.35">
      <c r="A28" s="298">
        <f>A26+1</f>
        <v>12</v>
      </c>
      <c r="B28" s="287" t="s">
        <v>74</v>
      </c>
      <c r="C28" s="283">
        <v>0.153</v>
      </c>
      <c r="D28" s="286"/>
      <c r="E28" s="87">
        <v>0.30599999999999999</v>
      </c>
      <c r="F28" s="286"/>
      <c r="G28" s="87">
        <v>0.153</v>
      </c>
      <c r="H28" s="286"/>
      <c r="I28" s="87">
        <f>0.153+0.0428816262163127</f>
        <v>0.19588162621631269</v>
      </c>
      <c r="J28" s="286"/>
      <c r="K28" s="87">
        <v>0.153</v>
      </c>
      <c r="L28" s="286"/>
      <c r="M28" s="87"/>
      <c r="N28" s="286"/>
      <c r="O28" s="87">
        <f>0.153-0.0428816262163127</f>
        <v>0.1101183737836873</v>
      </c>
      <c r="P28" s="286"/>
      <c r="Q28" s="87">
        <f>C28+E28+G28+I28+K28+M28+O28</f>
        <v>1.071</v>
      </c>
    </row>
    <row r="29" spans="1:19" ht="16.2" thickBot="1" x14ac:dyDescent="0.35">
      <c r="A29" s="9"/>
      <c r="C29" s="283"/>
      <c r="D29" s="286"/>
      <c r="E29" s="87"/>
      <c r="F29" s="286"/>
      <c r="G29" s="87"/>
      <c r="H29" s="286"/>
      <c r="I29" s="87"/>
      <c r="J29" s="286"/>
      <c r="K29" s="87"/>
      <c r="L29" s="286"/>
      <c r="M29" s="87"/>
      <c r="N29" s="286"/>
      <c r="O29" s="87"/>
      <c r="P29" s="286"/>
      <c r="Q29" s="87"/>
    </row>
    <row r="30" spans="1:19" ht="18.75" customHeight="1" thickBot="1" x14ac:dyDescent="0.35">
      <c r="A30" s="298">
        <f>A28+1</f>
        <v>13</v>
      </c>
      <c r="B30" s="287" t="s">
        <v>86</v>
      </c>
      <c r="C30" s="283"/>
      <c r="D30" s="286"/>
      <c r="E30" s="87"/>
      <c r="F30" s="286"/>
      <c r="G30" s="87"/>
      <c r="H30" s="286"/>
      <c r="I30" s="87"/>
      <c r="J30" s="286"/>
      <c r="K30" s="87"/>
      <c r="L30" s="286"/>
      <c r="M30" s="87">
        <f>3.832+0.271704-3.832-0.271704</f>
        <v>0</v>
      </c>
      <c r="N30" s="286"/>
      <c r="O30" s="87"/>
      <c r="P30" s="286"/>
      <c r="Q30" s="87">
        <f>C30+E30+G30+I30+K30+M30+O30</f>
        <v>0</v>
      </c>
    </row>
    <row r="31" spans="1:19" ht="16.2" thickBot="1" x14ac:dyDescent="0.35">
      <c r="A31" s="9"/>
      <c r="C31" s="283"/>
      <c r="D31" s="286"/>
      <c r="E31" s="87"/>
      <c r="F31" s="286"/>
      <c r="G31" s="87"/>
      <c r="H31" s="286"/>
      <c r="I31" s="87"/>
      <c r="J31" s="286"/>
      <c r="K31" s="87"/>
      <c r="L31" s="286"/>
      <c r="M31" s="87"/>
      <c r="N31" s="286"/>
      <c r="O31" s="87"/>
      <c r="P31" s="286"/>
      <c r="Q31" s="87"/>
    </row>
    <row r="32" spans="1:19" ht="16.2" thickBot="1" x14ac:dyDescent="0.35">
      <c r="A32" s="512">
        <f>A30+1</f>
        <v>14</v>
      </c>
      <c r="B32" s="287" t="s">
        <v>87</v>
      </c>
      <c r="C32" s="283"/>
      <c r="D32" s="286"/>
      <c r="E32" s="87"/>
      <c r="F32" s="286"/>
      <c r="G32" s="87"/>
      <c r="H32" s="286"/>
      <c r="I32" s="87"/>
      <c r="J32" s="286"/>
      <c r="K32" s="87">
        <f>0.837-0.837</f>
        <v>0</v>
      </c>
      <c r="L32" s="286"/>
      <c r="M32" s="87"/>
      <c r="N32" s="286"/>
      <c r="O32" s="87"/>
      <c r="P32" s="286"/>
      <c r="Q32" s="87">
        <f>C32+E32+G32+I32+K32+M32+O32</f>
        <v>0</v>
      </c>
      <c r="R32" s="299" t="s">
        <v>270</v>
      </c>
      <c r="S32" s="294"/>
    </row>
    <row r="33" spans="1:18" ht="16.2" thickBot="1" x14ac:dyDescent="0.35">
      <c r="A33" s="9"/>
      <c r="C33" s="283"/>
      <c r="D33" s="286"/>
      <c r="E33" s="87"/>
      <c r="F33" s="286"/>
      <c r="G33" s="87"/>
      <c r="H33" s="286"/>
      <c r="I33" s="87"/>
      <c r="J33" s="286"/>
      <c r="K33" s="87"/>
      <c r="L33" s="286"/>
      <c r="M33" s="87"/>
      <c r="N33" s="286"/>
      <c r="O33" s="87"/>
      <c r="P33" s="286"/>
      <c r="Q33" s="87"/>
    </row>
    <row r="34" spans="1:18" ht="16.2" thickBot="1" x14ac:dyDescent="0.35">
      <c r="A34" s="298">
        <f>A32+1</f>
        <v>15</v>
      </c>
      <c r="B34" s="287" t="s">
        <v>88</v>
      </c>
      <c r="C34" s="283">
        <v>0.06</v>
      </c>
      <c r="D34" s="286"/>
      <c r="E34" s="87"/>
      <c r="F34" s="286"/>
      <c r="G34" s="87"/>
      <c r="H34" s="286"/>
      <c r="I34" s="87"/>
      <c r="J34" s="286"/>
      <c r="K34" s="87"/>
      <c r="L34" s="286"/>
      <c r="M34" s="87"/>
      <c r="N34" s="286"/>
      <c r="O34" s="87"/>
      <c r="P34" s="286"/>
      <c r="Q34" s="87">
        <f>C34+E34+G34+I34+K34+M34+O34</f>
        <v>0.06</v>
      </c>
    </row>
    <row r="35" spans="1:18" ht="16.2" thickBot="1" x14ac:dyDescent="0.35">
      <c r="A35" s="9"/>
      <c r="C35" s="283"/>
      <c r="D35" s="286"/>
      <c r="E35" s="87"/>
      <c r="F35" s="286"/>
      <c r="G35" s="87"/>
      <c r="H35" s="286"/>
      <c r="I35" s="87"/>
      <c r="J35" s="286"/>
      <c r="K35" s="87"/>
      <c r="L35" s="286"/>
      <c r="M35" s="87"/>
      <c r="N35" s="286"/>
      <c r="O35" s="87"/>
      <c r="P35" s="286"/>
      <c r="Q35" s="87"/>
    </row>
    <row r="36" spans="1:18" ht="16.2" thickBot="1" x14ac:dyDescent="0.35">
      <c r="A36" s="298">
        <f>A34+1</f>
        <v>16</v>
      </c>
      <c r="B36" s="287" t="s">
        <v>107</v>
      </c>
      <c r="C36" s="283">
        <v>5.5E-2</v>
      </c>
      <c r="D36" s="286"/>
      <c r="E36" s="87">
        <v>6.7000000000000004E-2</v>
      </c>
      <c r="F36" s="286"/>
      <c r="G36" s="87">
        <v>4.3999999999999997E-2</v>
      </c>
      <c r="H36" s="286"/>
      <c r="I36" s="87">
        <f>0.028+0.0137483671046489</f>
        <v>4.1748367104648902E-2</v>
      </c>
      <c r="J36" s="286"/>
      <c r="K36" s="87">
        <v>3.6999999999999998E-2</v>
      </c>
      <c r="L36" s="286"/>
      <c r="M36" s="87">
        <v>1.2999999999999999E-2</v>
      </c>
      <c r="N36" s="286"/>
      <c r="O36" s="87">
        <f>0.049-0.0137483671046489</f>
        <v>3.5251632895351104E-2</v>
      </c>
      <c r="P36" s="286"/>
      <c r="Q36" s="87">
        <f>C36+E36+G36+I36+K36+M36+O36</f>
        <v>0.29299999999999998</v>
      </c>
    </row>
    <row r="37" spans="1:18" ht="16.2" thickBot="1" x14ac:dyDescent="0.35">
      <c r="A37" s="9"/>
      <c r="C37" s="283"/>
      <c r="D37" s="286"/>
      <c r="E37" s="87"/>
      <c r="F37" s="286"/>
      <c r="G37" s="87"/>
      <c r="H37" s="286"/>
      <c r="I37" s="87"/>
      <c r="J37" s="286"/>
      <c r="K37" s="87"/>
      <c r="L37" s="286"/>
      <c r="M37" s="87"/>
      <c r="N37" s="286"/>
      <c r="O37" s="87"/>
      <c r="P37" s="286"/>
      <c r="Q37" s="87"/>
    </row>
    <row r="38" spans="1:18" ht="16.2" thickBot="1" x14ac:dyDescent="0.35">
      <c r="A38" s="298">
        <f>A36+1</f>
        <v>17</v>
      </c>
      <c r="B38" s="287" t="s">
        <v>108</v>
      </c>
      <c r="C38" s="283"/>
      <c r="D38" s="286"/>
      <c r="E38" s="87"/>
      <c r="F38" s="286"/>
      <c r="G38" s="87"/>
      <c r="H38" s="286"/>
      <c r="I38" s="87">
        <v>1.5</v>
      </c>
      <c r="J38" s="286"/>
      <c r="K38" s="87"/>
      <c r="L38" s="286"/>
      <c r="M38" s="87"/>
      <c r="N38" s="286"/>
      <c r="O38" s="87"/>
      <c r="P38" s="286"/>
      <c r="Q38" s="87">
        <f>C38+E38+G38+I38+K38+M38+O38</f>
        <v>1.5</v>
      </c>
    </row>
    <row r="39" spans="1:18" ht="16.2" thickBot="1" x14ac:dyDescent="0.35">
      <c r="A39" s="9"/>
      <c r="C39" s="283"/>
      <c r="D39" s="286"/>
      <c r="E39" s="87"/>
      <c r="F39" s="286"/>
      <c r="G39" s="87"/>
      <c r="H39" s="286"/>
      <c r="I39" s="87"/>
      <c r="J39" s="286"/>
      <c r="K39" s="87"/>
      <c r="L39" s="286"/>
      <c r="M39" s="87"/>
      <c r="N39" s="286"/>
      <c r="O39" s="87"/>
      <c r="P39" s="286"/>
      <c r="Q39" s="87"/>
    </row>
    <row r="40" spans="1:18" ht="16.2" thickBot="1" x14ac:dyDescent="0.35">
      <c r="A40" s="298">
        <f>A38+1</f>
        <v>18</v>
      </c>
      <c r="B40" s="287" t="s">
        <v>106</v>
      </c>
      <c r="C40" s="283"/>
      <c r="D40" s="286"/>
      <c r="E40" s="87"/>
      <c r="F40" s="286"/>
      <c r="G40" s="87">
        <v>8.9800000000000001E-3</v>
      </c>
      <c r="H40" s="286"/>
      <c r="I40" s="87"/>
      <c r="J40" s="286"/>
      <c r="K40" s="87"/>
      <c r="L40" s="286"/>
      <c r="M40" s="87"/>
      <c r="N40" s="286"/>
      <c r="O40" s="87"/>
      <c r="P40" s="286"/>
      <c r="Q40" s="87">
        <f>C40+E40+G40+I40+K40+M40+O40</f>
        <v>8.9800000000000001E-3</v>
      </c>
    </row>
    <row r="41" spans="1:18" ht="16.2" thickBot="1" x14ac:dyDescent="0.35">
      <c r="A41" s="9"/>
      <c r="C41" s="283"/>
      <c r="D41" s="286"/>
      <c r="E41" s="87"/>
      <c r="F41" s="286"/>
      <c r="G41" s="87"/>
      <c r="H41" s="286"/>
      <c r="I41" s="87"/>
      <c r="J41" s="286"/>
      <c r="K41" s="87"/>
      <c r="L41" s="286"/>
      <c r="M41" s="87"/>
      <c r="N41" s="286"/>
      <c r="O41" s="87"/>
      <c r="P41" s="286"/>
      <c r="Q41" s="87"/>
    </row>
    <row r="42" spans="1:18" ht="16.2" thickBot="1" x14ac:dyDescent="0.35">
      <c r="A42" s="298">
        <f>A40+1</f>
        <v>19</v>
      </c>
      <c r="B42" s="287" t="s">
        <v>109</v>
      </c>
      <c r="C42" s="283"/>
      <c r="D42" s="286"/>
      <c r="E42" s="87"/>
      <c r="F42" s="286"/>
      <c r="G42" s="87"/>
      <c r="H42" s="286"/>
      <c r="I42" s="87">
        <f>0.031528</f>
        <v>3.1528E-2</v>
      </c>
      <c r="J42" s="286"/>
      <c r="K42" s="87"/>
      <c r="L42" s="286"/>
      <c r="M42" s="87"/>
      <c r="N42" s="286"/>
      <c r="O42" s="87"/>
      <c r="P42" s="286"/>
      <c r="Q42" s="87">
        <f>C42+E42+G42+I42+K42+M42+O42</f>
        <v>3.1528E-2</v>
      </c>
    </row>
    <row r="43" spans="1:18" ht="16.2" thickBot="1" x14ac:dyDescent="0.35">
      <c r="A43" s="9"/>
      <c r="C43" s="283"/>
      <c r="D43" s="286"/>
      <c r="E43" s="87"/>
      <c r="F43" s="286"/>
      <c r="G43" s="87"/>
      <c r="H43" s="286"/>
      <c r="I43" s="87"/>
      <c r="J43" s="286"/>
      <c r="K43" s="87"/>
      <c r="L43" s="286"/>
      <c r="M43" s="87"/>
      <c r="N43" s="286"/>
      <c r="O43" s="87"/>
      <c r="P43" s="286"/>
      <c r="Q43" s="87"/>
    </row>
    <row r="44" spans="1:18" ht="16.2" thickBot="1" x14ac:dyDescent="0.35">
      <c r="A44" s="512">
        <f>A42+1</f>
        <v>20</v>
      </c>
      <c r="B44" s="287" t="s">
        <v>110</v>
      </c>
      <c r="C44" s="283">
        <f>6.56+1.93+6.708+0.262-0.193-15.267</f>
        <v>0</v>
      </c>
      <c r="D44" s="286"/>
      <c r="E44" s="87"/>
      <c r="F44" s="286"/>
      <c r="G44" s="87"/>
      <c r="H44" s="286"/>
      <c r="I44" s="87"/>
      <c r="J44" s="286"/>
      <c r="K44" s="87"/>
      <c r="L44" s="286"/>
      <c r="M44" s="87"/>
      <c r="N44" s="286"/>
      <c r="O44" s="87"/>
      <c r="P44" s="286"/>
      <c r="Q44" s="87">
        <f>C44+E44+G44+I44+K44+M44+O44</f>
        <v>0</v>
      </c>
      <c r="R44" s="299" t="s">
        <v>276</v>
      </c>
    </row>
    <row r="45" spans="1:18" ht="16.2" thickBot="1" x14ac:dyDescent="0.35">
      <c r="A45" s="9"/>
      <c r="C45" s="283"/>
      <c r="D45" s="286"/>
      <c r="E45" s="87"/>
      <c r="F45" s="286"/>
      <c r="G45" s="87"/>
      <c r="H45" s="286"/>
      <c r="I45" s="87"/>
      <c r="J45" s="286"/>
      <c r="K45" s="87"/>
      <c r="L45" s="286"/>
      <c r="M45" s="87"/>
      <c r="N45" s="286"/>
      <c r="O45" s="87"/>
      <c r="P45" s="286"/>
      <c r="Q45" s="87"/>
    </row>
    <row r="46" spans="1:18" ht="16.2" thickBot="1" x14ac:dyDescent="0.35">
      <c r="A46" s="298">
        <f>A44+1</f>
        <v>21</v>
      </c>
      <c r="B46" s="287" t="s">
        <v>189</v>
      </c>
      <c r="C46" s="283"/>
      <c r="D46" s="286"/>
      <c r="E46" s="87"/>
      <c r="F46" s="286"/>
      <c r="G46" s="87"/>
      <c r="H46" s="286"/>
      <c r="I46" s="87"/>
      <c r="J46" s="286"/>
      <c r="K46" s="87"/>
      <c r="L46" s="286"/>
      <c r="M46" s="87"/>
      <c r="N46" s="286"/>
      <c r="O46" s="87">
        <v>0.06</v>
      </c>
      <c r="P46" s="286"/>
      <c r="Q46" s="87">
        <f>C46+E46+G46+I46+K46+M46+O46</f>
        <v>0.06</v>
      </c>
    </row>
    <row r="47" spans="1:18" ht="16.2" thickBot="1" x14ac:dyDescent="0.35">
      <c r="A47" s="9"/>
      <c r="C47" s="283"/>
      <c r="D47" s="286"/>
      <c r="E47" s="87"/>
      <c r="F47" s="286"/>
      <c r="G47" s="87"/>
      <c r="H47" s="286"/>
      <c r="I47" s="87"/>
      <c r="J47" s="286"/>
      <c r="K47" s="87"/>
      <c r="L47" s="286"/>
      <c r="M47" s="87"/>
      <c r="N47" s="286"/>
      <c r="O47" s="87"/>
      <c r="P47" s="286"/>
      <c r="Q47" s="87"/>
    </row>
    <row r="48" spans="1:18" ht="16.2" thickBot="1" x14ac:dyDescent="0.35">
      <c r="A48" s="298">
        <f>A46+1</f>
        <v>22</v>
      </c>
      <c r="B48" s="287" t="s">
        <v>190</v>
      </c>
      <c r="C48" s="283"/>
      <c r="D48" s="286"/>
      <c r="E48" s="87">
        <v>0.15</v>
      </c>
      <c r="F48" s="286"/>
      <c r="G48" s="87"/>
      <c r="H48" s="286"/>
      <c r="I48" s="87"/>
      <c r="J48" s="286"/>
      <c r="K48" s="87"/>
      <c r="L48" s="286"/>
      <c r="M48" s="87"/>
      <c r="N48" s="286"/>
      <c r="O48" s="87"/>
      <c r="P48" s="286"/>
      <c r="Q48" s="87">
        <f>C48+E48+G48+I48+K48+M48+O48</f>
        <v>0.15</v>
      </c>
    </row>
    <row r="49" spans="1:17" ht="16.2" thickBot="1" x14ac:dyDescent="0.35">
      <c r="A49" s="9"/>
      <c r="C49" s="283"/>
      <c r="D49" s="286"/>
      <c r="E49" s="87"/>
      <c r="F49" s="286"/>
      <c r="G49" s="87"/>
      <c r="H49" s="286"/>
      <c r="I49" s="87"/>
      <c r="J49" s="286"/>
      <c r="K49" s="87"/>
      <c r="L49" s="286"/>
      <c r="M49" s="87"/>
      <c r="N49" s="286"/>
      <c r="O49" s="87"/>
      <c r="P49" s="286"/>
      <c r="Q49" s="87"/>
    </row>
    <row r="50" spans="1:17" ht="16.2" thickBot="1" x14ac:dyDescent="0.35">
      <c r="A50" s="298">
        <f>A48+1</f>
        <v>23</v>
      </c>
      <c r="B50" s="287" t="s">
        <v>128</v>
      </c>
      <c r="C50" s="283"/>
      <c r="D50" s="286"/>
      <c r="E50" s="87"/>
      <c r="F50" s="286"/>
      <c r="G50" s="87">
        <f>0.407+0.17+0.417</f>
        <v>0.99399999999999999</v>
      </c>
      <c r="H50" s="286"/>
      <c r="I50" s="87"/>
      <c r="J50" s="286"/>
      <c r="K50" s="87"/>
      <c r="L50" s="286"/>
      <c r="M50" s="87"/>
      <c r="N50" s="286"/>
      <c r="O50" s="87"/>
      <c r="P50" s="286"/>
      <c r="Q50" s="87">
        <f>C50+E50+G50+I50+K50+M50+O50</f>
        <v>0.99399999999999999</v>
      </c>
    </row>
    <row r="51" spans="1:17" ht="16.2" thickBot="1" x14ac:dyDescent="0.35">
      <c r="A51" s="9"/>
      <c r="C51" s="283"/>
      <c r="D51" s="286"/>
      <c r="E51" s="87"/>
      <c r="F51" s="286"/>
      <c r="G51" s="87"/>
      <c r="H51" s="286"/>
      <c r="I51" s="87"/>
      <c r="J51" s="286"/>
      <c r="K51" s="87"/>
      <c r="L51" s="286"/>
      <c r="M51" s="87"/>
      <c r="N51" s="286"/>
      <c r="O51" s="87"/>
      <c r="P51" s="286"/>
      <c r="Q51" s="87"/>
    </row>
    <row r="52" spans="1:17" ht="16.2" thickBot="1" x14ac:dyDescent="0.35">
      <c r="A52" s="298">
        <f>A50+1</f>
        <v>24</v>
      </c>
      <c r="B52" s="287" t="s">
        <v>143</v>
      </c>
      <c r="C52" s="283">
        <v>2.4500000000000001E-2</v>
      </c>
      <c r="D52" s="286"/>
      <c r="E52" s="87"/>
      <c r="F52" s="286"/>
      <c r="G52" s="87"/>
      <c r="H52" s="286"/>
      <c r="I52" s="87"/>
      <c r="J52" s="286"/>
      <c r="K52" s="87"/>
      <c r="L52" s="286"/>
      <c r="M52" s="87"/>
      <c r="N52" s="286"/>
      <c r="O52" s="87"/>
      <c r="P52" s="286"/>
      <c r="Q52" s="87">
        <f>C52+E52+G52+I52+K52+M52+O52</f>
        <v>2.4500000000000001E-2</v>
      </c>
    </row>
    <row r="53" spans="1:17" ht="16.2" thickBot="1" x14ac:dyDescent="0.35">
      <c r="A53" s="9"/>
      <c r="C53" s="283"/>
      <c r="D53" s="286"/>
      <c r="E53" s="87"/>
      <c r="F53" s="286"/>
      <c r="G53" s="87"/>
      <c r="H53" s="286"/>
      <c r="I53" s="87"/>
      <c r="J53" s="286"/>
      <c r="K53" s="87"/>
      <c r="L53" s="286"/>
      <c r="M53" s="87"/>
      <c r="N53" s="286"/>
      <c r="O53" s="87"/>
      <c r="P53" s="286"/>
      <c r="Q53" s="87"/>
    </row>
    <row r="54" spans="1:17" ht="16.2" thickBot="1" x14ac:dyDescent="0.35">
      <c r="A54" s="298">
        <f>A52+1</f>
        <v>25</v>
      </c>
      <c r="B54" s="287" t="s">
        <v>144</v>
      </c>
      <c r="C54" s="283">
        <v>6.4000000000000001E-2</v>
      </c>
      <c r="D54" s="286"/>
      <c r="E54" s="87"/>
      <c r="F54" s="286"/>
      <c r="G54" s="87"/>
      <c r="H54" s="286"/>
      <c r="I54" s="87"/>
      <c r="J54" s="286"/>
      <c r="K54" s="87"/>
      <c r="L54" s="286"/>
      <c r="M54" s="87"/>
      <c r="N54" s="286"/>
      <c r="O54" s="87">
        <v>0.4</v>
      </c>
      <c r="P54" s="286"/>
      <c r="Q54" s="87">
        <f>C54+E54+G54+I54+K54+M54+O54</f>
        <v>0.46400000000000002</v>
      </c>
    </row>
    <row r="55" spans="1:17" ht="16.2" thickBot="1" x14ac:dyDescent="0.35">
      <c r="A55" s="9"/>
      <c r="C55" s="283"/>
      <c r="D55" s="286"/>
      <c r="E55" s="87"/>
      <c r="F55" s="286"/>
      <c r="G55" s="87"/>
      <c r="H55" s="286"/>
      <c r="I55" s="87"/>
      <c r="J55" s="286"/>
      <c r="K55" s="87"/>
      <c r="L55" s="286"/>
      <c r="M55" s="87"/>
      <c r="N55" s="286"/>
      <c r="O55" s="87"/>
      <c r="P55" s="286"/>
      <c r="Q55" s="87"/>
    </row>
    <row r="56" spans="1:17" ht="16.2" thickBot="1" x14ac:dyDescent="0.35">
      <c r="A56" s="298">
        <f>A54+1</f>
        <v>26</v>
      </c>
      <c r="B56" s="287" t="s">
        <v>148</v>
      </c>
      <c r="C56" s="283">
        <v>0.04</v>
      </c>
      <c r="D56" s="286"/>
      <c r="E56" s="87">
        <v>7.8700999999999993E-2</v>
      </c>
      <c r="F56" s="286"/>
      <c r="G56" s="87">
        <v>9.6110000000000001E-2</v>
      </c>
      <c r="H56" s="286"/>
      <c r="I56" s="87">
        <v>0.108684</v>
      </c>
      <c r="J56" s="286"/>
      <c r="K56" s="87">
        <v>5.8376999999999998E-2</v>
      </c>
      <c r="L56" s="286"/>
      <c r="M56" s="87">
        <v>3.5000000000000003E-2</v>
      </c>
      <c r="N56" s="286"/>
      <c r="O56" s="87">
        <v>0.124018</v>
      </c>
      <c r="P56" s="286"/>
      <c r="Q56" s="87">
        <f>C56+E56+G56+I56+K56+M56+O56</f>
        <v>0.54088999999999998</v>
      </c>
    </row>
    <row r="57" spans="1:17" ht="16.2" thickBot="1" x14ac:dyDescent="0.35">
      <c r="A57" s="298"/>
      <c r="C57" s="283"/>
      <c r="D57" s="286"/>
      <c r="E57" s="87"/>
      <c r="F57" s="286"/>
      <c r="G57" s="87"/>
      <c r="H57" s="286"/>
      <c r="I57" s="87"/>
      <c r="J57" s="286"/>
      <c r="K57" s="87"/>
      <c r="L57" s="286"/>
      <c r="M57" s="87"/>
      <c r="N57" s="286"/>
      <c r="O57" s="87"/>
      <c r="P57" s="286"/>
      <c r="Q57" s="87"/>
    </row>
    <row r="58" spans="1:17" ht="16.2" thickBot="1" x14ac:dyDescent="0.35">
      <c r="A58" s="298">
        <f>A56+1</f>
        <v>27</v>
      </c>
      <c r="B58" s="287" t="s">
        <v>150</v>
      </c>
      <c r="C58" s="283">
        <v>5.1220000000000002E-2</v>
      </c>
      <c r="D58" s="286"/>
      <c r="E58" s="87">
        <v>6.1463999999999998E-2</v>
      </c>
      <c r="F58" s="286"/>
      <c r="G58" s="87">
        <v>5.1220000000000002E-2</v>
      </c>
      <c r="H58" s="286"/>
      <c r="I58" s="87">
        <v>6.1463999999999998E-2</v>
      </c>
      <c r="J58" s="286"/>
      <c r="K58" s="87">
        <v>5.1220000000000002E-2</v>
      </c>
      <c r="L58" s="286"/>
      <c r="M58" s="87">
        <v>5.5004999999999998E-2</v>
      </c>
      <c r="N58" s="286"/>
      <c r="O58" s="87">
        <v>5.1220000000000002E-2</v>
      </c>
      <c r="P58" s="286"/>
      <c r="Q58" s="87">
        <f>C58+E58+G58+I58+K58+M58+O58</f>
        <v>0.38281300000000001</v>
      </c>
    </row>
    <row r="59" spans="1:17" ht="16.2" thickBot="1" x14ac:dyDescent="0.35">
      <c r="A59" s="9"/>
      <c r="C59" s="283"/>
      <c r="D59" s="286"/>
      <c r="E59" s="87"/>
      <c r="F59" s="286"/>
      <c r="G59" s="87"/>
      <c r="H59" s="286"/>
      <c r="I59" s="87"/>
      <c r="J59" s="286"/>
      <c r="K59" s="87"/>
      <c r="L59" s="286"/>
      <c r="M59" s="87"/>
      <c r="N59" s="286"/>
      <c r="O59" s="87"/>
      <c r="P59" s="286"/>
      <c r="Q59" s="87"/>
    </row>
    <row r="60" spans="1:17" ht="16.2" thickBot="1" x14ac:dyDescent="0.35">
      <c r="A60" s="298">
        <f>A58+1</f>
        <v>28</v>
      </c>
      <c r="B60" s="287" t="s">
        <v>156</v>
      </c>
      <c r="C60" s="283"/>
      <c r="D60" s="286"/>
      <c r="E60" s="87"/>
      <c r="F60" s="286"/>
      <c r="G60" s="87"/>
      <c r="H60" s="286"/>
      <c r="I60" s="87"/>
      <c r="J60" s="286"/>
      <c r="K60" s="87"/>
      <c r="L60" s="286"/>
      <c r="M60" s="87"/>
      <c r="N60" s="286"/>
      <c r="O60" s="87">
        <v>0.52500000000000002</v>
      </c>
      <c r="P60" s="286"/>
      <c r="Q60" s="87">
        <f>C60+E60+G60+I60+K60+M60+O60</f>
        <v>0.52500000000000002</v>
      </c>
    </row>
    <row r="61" spans="1:17" ht="16.2" thickBot="1" x14ac:dyDescent="0.35">
      <c r="A61" s="9"/>
      <c r="C61" s="283"/>
      <c r="D61" s="286"/>
      <c r="E61" s="87"/>
      <c r="F61" s="286"/>
      <c r="G61" s="87"/>
      <c r="H61" s="286"/>
      <c r="I61" s="87"/>
      <c r="J61" s="286"/>
      <c r="K61" s="87"/>
      <c r="L61" s="286"/>
      <c r="M61" s="87"/>
      <c r="N61" s="286"/>
      <c r="O61" s="87"/>
      <c r="P61" s="286"/>
      <c r="Q61" s="87"/>
    </row>
    <row r="62" spans="1:17" ht="16.2" thickBot="1" x14ac:dyDescent="0.35">
      <c r="A62" s="298">
        <f>A60+1</f>
        <v>29</v>
      </c>
      <c r="B62" s="287" t="s">
        <v>147</v>
      </c>
      <c r="C62" s="283">
        <v>5.6834000000000003E-2</v>
      </c>
      <c r="D62" s="286"/>
      <c r="E62" s="87"/>
      <c r="F62" s="286"/>
      <c r="G62" s="87">
        <v>4.0021000000000001E-2</v>
      </c>
      <c r="H62" s="286"/>
      <c r="I62" s="87">
        <v>4.0585000000000003E-2</v>
      </c>
      <c r="J62" s="286"/>
      <c r="K62" s="87">
        <v>2.8760000000000001E-3</v>
      </c>
      <c r="L62" s="286"/>
      <c r="M62" s="87">
        <v>3.2859999999999999E-3</v>
      </c>
      <c r="N62" s="286"/>
      <c r="O62" s="87">
        <v>1.3990000000000001E-3</v>
      </c>
      <c r="P62" s="286"/>
      <c r="Q62" s="87">
        <f>C62+E62+G62+I62+K62+M62+O62</f>
        <v>0.14500100000000002</v>
      </c>
    </row>
    <row r="63" spans="1:17" ht="16.2" thickBot="1" x14ac:dyDescent="0.35">
      <c r="A63" s="9"/>
      <c r="C63" s="283"/>
      <c r="D63" s="286"/>
      <c r="E63" s="87"/>
      <c r="F63" s="286"/>
      <c r="G63" s="87"/>
      <c r="H63" s="286"/>
      <c r="I63" s="87"/>
      <c r="J63" s="286"/>
      <c r="K63" s="87"/>
      <c r="L63" s="286"/>
      <c r="M63" s="87"/>
      <c r="N63" s="286"/>
      <c r="O63" s="87"/>
      <c r="P63" s="286"/>
      <c r="Q63" s="87"/>
    </row>
    <row r="64" spans="1:17" ht="16.2" thickBot="1" x14ac:dyDescent="0.35">
      <c r="A64" s="298">
        <f>A62+1</f>
        <v>30</v>
      </c>
      <c r="B64" s="287" t="s">
        <v>175</v>
      </c>
      <c r="C64" s="283"/>
      <c r="D64" s="286"/>
      <c r="E64" s="87"/>
      <c r="F64" s="286"/>
      <c r="G64" s="87">
        <v>1.1659999999999999</v>
      </c>
      <c r="H64" s="286"/>
      <c r="I64" s="87"/>
      <c r="J64" s="286"/>
      <c r="K64" s="87"/>
      <c r="L64" s="286"/>
      <c r="M64" s="87"/>
      <c r="N64" s="286"/>
      <c r="O64" s="87"/>
      <c r="P64" s="286"/>
      <c r="Q64" s="87">
        <f>C64+E64+G64+I64+K64+M64+O64</f>
        <v>1.1659999999999999</v>
      </c>
    </row>
    <row r="65" spans="1:19" ht="16.2" thickBot="1" x14ac:dyDescent="0.35">
      <c r="A65" s="9"/>
      <c r="C65" s="283"/>
      <c r="D65" s="286"/>
      <c r="E65" s="87"/>
      <c r="F65" s="286"/>
      <c r="G65" s="87"/>
      <c r="H65" s="286"/>
      <c r="I65" s="87"/>
      <c r="J65" s="286"/>
      <c r="K65" s="87"/>
      <c r="L65" s="286"/>
      <c r="M65" s="87"/>
      <c r="N65" s="286"/>
      <c r="O65" s="87"/>
      <c r="P65" s="286"/>
      <c r="Q65" s="87"/>
    </row>
    <row r="66" spans="1:19" ht="16.2" thickBot="1" x14ac:dyDescent="0.35">
      <c r="A66" s="298">
        <f>A64+1</f>
        <v>31</v>
      </c>
      <c r="B66" s="287" t="s">
        <v>184</v>
      </c>
      <c r="C66" s="283">
        <v>0.27342100000000003</v>
      </c>
      <c r="D66" s="286"/>
      <c r="E66" s="87"/>
      <c r="F66" s="286"/>
      <c r="G66" s="87">
        <v>0.89299799999999996</v>
      </c>
      <c r="H66" s="286"/>
      <c r="I66" s="87">
        <v>0.29375400000000002</v>
      </c>
      <c r="J66" s="286"/>
      <c r="K66" s="87">
        <v>0.34824300000000002</v>
      </c>
      <c r="L66" s="286"/>
      <c r="M66" s="87">
        <v>2.2948E-2</v>
      </c>
      <c r="N66" s="286"/>
      <c r="O66" s="87">
        <v>1.142714</v>
      </c>
      <c r="P66" s="286"/>
      <c r="Q66" s="87">
        <f>C66+E66+G66+I66+K66+M66+O66</f>
        <v>2.974078</v>
      </c>
    </row>
    <row r="67" spans="1:19" ht="16.2" thickBot="1" x14ac:dyDescent="0.35">
      <c r="A67" s="9"/>
      <c r="C67" s="283"/>
      <c r="D67" s="286"/>
      <c r="E67" s="87"/>
      <c r="F67" s="286"/>
      <c r="G67" s="87"/>
      <c r="H67" s="286"/>
      <c r="I67" s="87"/>
      <c r="J67" s="286"/>
      <c r="K67" s="87"/>
      <c r="L67" s="286"/>
      <c r="M67" s="87"/>
      <c r="N67" s="286"/>
      <c r="O67" s="87"/>
      <c r="P67" s="286"/>
      <c r="Q67" s="87"/>
    </row>
    <row r="68" spans="1:19" ht="16.2" thickBot="1" x14ac:dyDescent="0.35">
      <c r="A68" s="298">
        <f>A66+1</f>
        <v>32</v>
      </c>
      <c r="B68" s="287" t="s">
        <v>191</v>
      </c>
      <c r="C68" s="283">
        <v>4.6508000000000001E-2</v>
      </c>
      <c r="D68" s="286"/>
      <c r="E68" s="87"/>
      <c r="F68" s="286"/>
      <c r="G68" s="87">
        <v>3.6773E-2</v>
      </c>
      <c r="H68" s="286"/>
      <c r="I68" s="87">
        <v>2.4877E-2</v>
      </c>
      <c r="J68" s="286"/>
      <c r="K68" s="87"/>
      <c r="L68" s="286"/>
      <c r="M68" s="87"/>
      <c r="N68" s="286"/>
      <c r="O68" s="87"/>
      <c r="P68" s="286"/>
      <c r="Q68" s="87">
        <f>C68+E68+G68+I68+K68+M68+O68</f>
        <v>0.10815799999999999</v>
      </c>
    </row>
    <row r="69" spans="1:19" ht="16.2" thickBot="1" x14ac:dyDescent="0.35">
      <c r="A69" s="9"/>
      <c r="C69" s="283"/>
      <c r="D69" s="286"/>
      <c r="E69" s="87"/>
      <c r="F69" s="286"/>
      <c r="G69" s="87"/>
      <c r="H69" s="286"/>
      <c r="I69" s="87"/>
      <c r="J69" s="286"/>
      <c r="K69" s="87"/>
      <c r="L69" s="286"/>
      <c r="M69" s="87"/>
      <c r="N69" s="286"/>
      <c r="O69" s="87"/>
      <c r="P69" s="286"/>
      <c r="Q69" s="87"/>
    </row>
    <row r="70" spans="1:19" ht="16.2" thickBot="1" x14ac:dyDescent="0.35">
      <c r="A70" s="298">
        <f>A68+1</f>
        <v>33</v>
      </c>
      <c r="B70" s="287" t="s">
        <v>195</v>
      </c>
      <c r="C70" s="283"/>
      <c r="D70" s="286"/>
      <c r="E70" s="87"/>
      <c r="F70" s="286"/>
      <c r="G70" s="87">
        <v>0.05</v>
      </c>
      <c r="H70" s="286"/>
      <c r="I70" s="87"/>
      <c r="J70" s="286"/>
      <c r="K70" s="87"/>
      <c r="L70" s="286"/>
      <c r="M70" s="87"/>
      <c r="N70" s="286"/>
      <c r="O70" s="87"/>
      <c r="P70" s="286"/>
      <c r="Q70" s="87">
        <f>C70+E70+G70+I70+K70+M70+O70</f>
        <v>0.05</v>
      </c>
    </row>
    <row r="71" spans="1:19" ht="16.2" thickBot="1" x14ac:dyDescent="0.35">
      <c r="A71" s="9"/>
      <c r="C71" s="283"/>
      <c r="D71" s="286"/>
      <c r="E71" s="87"/>
      <c r="F71" s="286"/>
      <c r="G71" s="87"/>
      <c r="H71" s="286"/>
      <c r="I71" s="87"/>
      <c r="J71" s="286"/>
      <c r="K71" s="87"/>
      <c r="L71" s="286"/>
      <c r="M71" s="87"/>
      <c r="N71" s="286"/>
      <c r="O71" s="87"/>
      <c r="P71" s="286"/>
      <c r="Q71" s="87"/>
    </row>
    <row r="72" spans="1:19" ht="16.2" thickBot="1" x14ac:dyDescent="0.35">
      <c r="A72" s="298">
        <f>A70+1</f>
        <v>34</v>
      </c>
      <c r="B72" s="287" t="s">
        <v>196</v>
      </c>
      <c r="C72" s="283"/>
      <c r="D72" s="286"/>
      <c r="E72" s="87"/>
      <c r="F72" s="286"/>
      <c r="G72" s="87"/>
      <c r="H72" s="286"/>
      <c r="I72" s="87"/>
      <c r="J72" s="286"/>
      <c r="K72" s="87"/>
      <c r="L72" s="286"/>
      <c r="M72" s="87"/>
      <c r="N72" s="286"/>
      <c r="O72" s="87">
        <v>2.2959999999999998</v>
      </c>
      <c r="P72" s="286"/>
      <c r="Q72" s="87">
        <f>C72+E72+G72+I72+K72+M72+O72</f>
        <v>2.2959999999999998</v>
      </c>
    </row>
    <row r="73" spans="1:19" ht="16.2" thickBot="1" x14ac:dyDescent="0.35">
      <c r="A73" s="9"/>
      <c r="C73" s="283"/>
      <c r="D73" s="286"/>
      <c r="E73" s="87"/>
      <c r="F73" s="286"/>
      <c r="G73" s="87"/>
      <c r="H73" s="286"/>
      <c r="I73" s="87"/>
      <c r="J73" s="286"/>
      <c r="K73" s="87"/>
      <c r="L73" s="286"/>
      <c r="M73" s="87"/>
      <c r="N73" s="286"/>
      <c r="O73" s="87"/>
      <c r="P73" s="286"/>
      <c r="Q73" s="87"/>
    </row>
    <row r="74" spans="1:19" ht="16.2" thickBot="1" x14ac:dyDescent="0.35">
      <c r="A74" s="298">
        <f>A72+1</f>
        <v>35</v>
      </c>
      <c r="B74" s="287" t="s">
        <v>197</v>
      </c>
      <c r="C74" s="283"/>
      <c r="D74" s="286"/>
      <c r="E74" s="87"/>
      <c r="F74" s="286"/>
      <c r="G74" s="87"/>
      <c r="H74" s="286"/>
      <c r="I74" s="87"/>
      <c r="J74" s="286"/>
      <c r="K74" s="87"/>
      <c r="L74" s="286"/>
      <c r="M74" s="87"/>
      <c r="N74" s="286"/>
      <c r="O74" s="87">
        <v>0.45900000000000002</v>
      </c>
      <c r="P74" s="286"/>
      <c r="Q74" s="87">
        <f>C74+E74+G74+I74+K74+M74+O74</f>
        <v>0.45900000000000002</v>
      </c>
    </row>
    <row r="75" spans="1:19" ht="16.2" thickBot="1" x14ac:dyDescent="0.35">
      <c r="A75" s="9"/>
      <c r="C75" s="283"/>
      <c r="D75" s="286"/>
      <c r="E75" s="87"/>
      <c r="F75" s="286"/>
      <c r="G75" s="87"/>
      <c r="H75" s="286"/>
      <c r="I75" s="87"/>
      <c r="J75" s="286"/>
      <c r="K75" s="87"/>
      <c r="L75" s="286"/>
      <c r="M75" s="87"/>
      <c r="N75" s="286"/>
      <c r="O75" s="87"/>
      <c r="P75" s="286"/>
      <c r="Q75" s="87"/>
    </row>
    <row r="76" spans="1:19" ht="16.2" thickBot="1" x14ac:dyDescent="0.35">
      <c r="A76" s="298">
        <f>A74+1</f>
        <v>36</v>
      </c>
      <c r="B76" s="287" t="s">
        <v>203</v>
      </c>
      <c r="C76" s="283">
        <f>0.085-0.085</f>
        <v>0</v>
      </c>
      <c r="D76" s="286"/>
      <c r="E76" s="87"/>
      <c r="F76" s="286"/>
      <c r="G76" s="87"/>
      <c r="H76" s="286"/>
      <c r="I76" s="87"/>
      <c r="J76" s="286"/>
      <c r="K76" s="87"/>
      <c r="L76" s="286"/>
      <c r="M76" s="87"/>
      <c r="N76" s="286"/>
      <c r="O76" s="87"/>
      <c r="P76" s="286"/>
      <c r="Q76" s="389">
        <f>C76+E76+G76+I76+K76+M76+O76</f>
        <v>0</v>
      </c>
      <c r="R76" s="299" t="s">
        <v>277</v>
      </c>
      <c r="S76" s="289"/>
    </row>
    <row r="77" spans="1:19" ht="16.2" thickBot="1" x14ac:dyDescent="0.35">
      <c r="A77" s="9"/>
      <c r="C77" s="283"/>
      <c r="D77" s="286"/>
      <c r="E77" s="87"/>
      <c r="F77" s="286"/>
      <c r="G77" s="87"/>
      <c r="H77" s="286"/>
      <c r="I77" s="87"/>
      <c r="J77" s="286"/>
      <c r="K77" s="87"/>
      <c r="L77" s="286"/>
      <c r="M77" s="87"/>
      <c r="N77" s="286"/>
      <c r="O77" s="87"/>
      <c r="P77" s="286"/>
      <c r="Q77" s="87"/>
    </row>
    <row r="78" spans="1:19" ht="16.2" thickBot="1" x14ac:dyDescent="0.35">
      <c r="A78" s="512">
        <f>A76+1</f>
        <v>37</v>
      </c>
      <c r="B78" s="287" t="s">
        <v>201</v>
      </c>
      <c r="C78" s="283">
        <f>0.08-0.08</f>
        <v>0</v>
      </c>
      <c r="D78" s="286"/>
      <c r="E78" s="87"/>
      <c r="F78" s="286"/>
      <c r="G78" s="87"/>
      <c r="H78" s="286"/>
      <c r="I78" s="87"/>
      <c r="J78" s="286"/>
      <c r="K78" s="87"/>
      <c r="L78" s="286"/>
      <c r="M78" s="87"/>
      <c r="N78" s="286"/>
      <c r="O78" s="87"/>
      <c r="P78" s="286"/>
      <c r="Q78" s="389">
        <f>C78+E78+G78+I78+K78+M78+O78</f>
        <v>0</v>
      </c>
      <c r="R78" s="299" t="s">
        <v>278</v>
      </c>
      <c r="S78" s="289"/>
    </row>
    <row r="79" spans="1:19" ht="16.2" thickBot="1" x14ac:dyDescent="0.35">
      <c r="A79" s="9"/>
      <c r="C79" s="283"/>
      <c r="D79" s="286"/>
      <c r="E79" s="87"/>
      <c r="F79" s="286"/>
      <c r="G79" s="87"/>
      <c r="H79" s="286"/>
      <c r="I79" s="87"/>
      <c r="J79" s="286"/>
      <c r="K79" s="87"/>
      <c r="L79" s="286"/>
      <c r="M79" s="87"/>
      <c r="N79" s="286"/>
      <c r="O79" s="87"/>
      <c r="P79" s="286"/>
      <c r="Q79" s="87"/>
      <c r="S79" s="9"/>
    </row>
    <row r="80" spans="1:19" ht="16.2" thickBot="1" x14ac:dyDescent="0.35">
      <c r="A80" s="512">
        <f>A78+1</f>
        <v>38</v>
      </c>
      <c r="B80" s="287" t="s">
        <v>207</v>
      </c>
      <c r="C80" s="283"/>
      <c r="D80" s="286"/>
      <c r="E80" s="87"/>
      <c r="F80" s="286"/>
      <c r="G80" s="87"/>
      <c r="H80" s="286"/>
      <c r="I80" s="87"/>
      <c r="J80" s="286"/>
      <c r="K80" s="87"/>
      <c r="L80" s="286"/>
      <c r="M80" s="87"/>
      <c r="N80" s="286"/>
      <c r="O80" s="87">
        <v>0.21</v>
      </c>
      <c r="P80" s="286"/>
      <c r="Q80" s="87">
        <f>C80+E80+G80+I80+K80+M80+O80</f>
        <v>0.21</v>
      </c>
      <c r="S80" s="9"/>
    </row>
    <row r="81" spans="1:24" ht="16.2" thickBot="1" x14ac:dyDescent="0.35">
      <c r="A81" s="9"/>
      <c r="C81" s="283"/>
      <c r="D81" s="286"/>
      <c r="E81" s="87"/>
      <c r="F81" s="286"/>
      <c r="G81" s="87"/>
      <c r="H81" s="286"/>
      <c r="I81" s="87"/>
      <c r="J81" s="286"/>
      <c r="K81" s="87"/>
      <c r="L81" s="286"/>
      <c r="M81" s="87"/>
      <c r="N81" s="286"/>
      <c r="O81" s="87"/>
      <c r="P81" s="286"/>
      <c r="Q81" s="87"/>
    </row>
    <row r="82" spans="1:24" ht="16.2" thickBot="1" x14ac:dyDescent="0.35">
      <c r="A82" s="298">
        <f>A80+1</f>
        <v>39</v>
      </c>
      <c r="B82" s="287" t="s">
        <v>208</v>
      </c>
      <c r="C82" s="283">
        <f>4.529-4.529</f>
        <v>0</v>
      </c>
      <c r="D82" s="286"/>
      <c r="E82" s="87"/>
      <c r="F82" s="286"/>
      <c r="G82" s="87"/>
      <c r="H82" s="286"/>
      <c r="I82" s="87"/>
      <c r="J82" s="286"/>
      <c r="K82" s="87"/>
      <c r="L82" s="286"/>
      <c r="M82" s="87"/>
      <c r="N82" s="286"/>
      <c r="O82" s="87"/>
      <c r="P82" s="286"/>
      <c r="Q82" s="87">
        <f>C82+E82+G82+I82+K82+M82+O82</f>
        <v>0</v>
      </c>
      <c r="R82" s="299" t="s">
        <v>282</v>
      </c>
      <c r="S82" s="290"/>
      <c r="T82" s="294"/>
    </row>
    <row r="83" spans="1:24" ht="16.2" thickBot="1" x14ac:dyDescent="0.35">
      <c r="A83" s="9"/>
      <c r="C83" s="283"/>
      <c r="D83" s="286"/>
      <c r="E83" s="87"/>
      <c r="F83" s="286"/>
      <c r="G83" s="87"/>
      <c r="H83" s="286"/>
      <c r="I83" s="87"/>
      <c r="J83" s="286"/>
      <c r="K83" s="87"/>
      <c r="L83" s="286"/>
      <c r="M83" s="87"/>
      <c r="N83" s="286"/>
      <c r="O83" s="87"/>
      <c r="P83" s="286"/>
      <c r="Q83" s="87"/>
    </row>
    <row r="84" spans="1:24" ht="16.2" thickBot="1" x14ac:dyDescent="0.35">
      <c r="A84" s="512">
        <f>A82+1</f>
        <v>40</v>
      </c>
      <c r="B84" s="382" t="s">
        <v>246</v>
      </c>
      <c r="C84" s="52"/>
      <c r="D84" s="286"/>
      <c r="E84" s="52">
        <v>1.1499999999999999</v>
      </c>
      <c r="F84" s="286"/>
      <c r="G84" s="52"/>
      <c r="H84" s="286"/>
      <c r="I84" s="52"/>
      <c r="J84" s="286"/>
      <c r="K84" s="52"/>
      <c r="L84" s="286"/>
      <c r="M84" s="52"/>
      <c r="N84" s="286"/>
      <c r="O84" s="52"/>
      <c r="P84" s="286"/>
      <c r="Q84" s="383">
        <f>C84+E84+G84+I84+K84+M84+O84</f>
        <v>1.1499999999999999</v>
      </c>
      <c r="S84" s="8"/>
    </row>
    <row r="85" spans="1:24" ht="16.2" thickBot="1" x14ac:dyDescent="0.35">
      <c r="A85" s="9"/>
      <c r="C85" s="381"/>
      <c r="D85" s="286"/>
      <c r="E85" s="52"/>
      <c r="F85" s="286"/>
      <c r="G85" s="52"/>
      <c r="H85" s="286"/>
      <c r="I85" s="52"/>
      <c r="J85" s="286"/>
      <c r="K85" s="52"/>
      <c r="L85" s="286"/>
      <c r="M85" s="52"/>
      <c r="N85" s="286"/>
      <c r="O85" s="52"/>
      <c r="P85" s="286"/>
      <c r="Q85" s="381"/>
    </row>
    <row r="86" spans="1:24" ht="16.2" thickBot="1" x14ac:dyDescent="0.35">
      <c r="A86" s="512">
        <f>A84+1</f>
        <v>41</v>
      </c>
      <c r="B86" s="287" t="s">
        <v>252</v>
      </c>
      <c r="C86" s="52"/>
      <c r="D86" s="286"/>
      <c r="E86" s="52"/>
      <c r="F86" s="286"/>
      <c r="G86" s="52">
        <v>0.01</v>
      </c>
      <c r="H86" s="286"/>
      <c r="I86" s="52"/>
      <c r="J86" s="286"/>
      <c r="K86" s="52"/>
      <c r="L86" s="286"/>
      <c r="M86" s="52"/>
      <c r="N86" s="286"/>
      <c r="O86" s="52"/>
      <c r="P86" s="286"/>
      <c r="Q86" s="383">
        <f>C86+E86+G86+I86+K86+M86+O86</f>
        <v>0.01</v>
      </c>
      <c r="S86" s="8"/>
    </row>
    <row r="87" spans="1:24" ht="16.2" thickBot="1" x14ac:dyDescent="0.35">
      <c r="A87" s="9"/>
      <c r="C87" s="52"/>
      <c r="D87" s="286"/>
      <c r="E87" s="52"/>
      <c r="F87" s="286"/>
      <c r="G87" s="52"/>
      <c r="H87" s="286"/>
      <c r="I87" s="52"/>
      <c r="J87" s="286"/>
      <c r="K87" s="52"/>
      <c r="L87" s="286"/>
      <c r="M87" s="52"/>
      <c r="N87" s="286"/>
      <c r="O87" s="52"/>
      <c r="P87" s="286"/>
      <c r="Q87" s="381"/>
    </row>
    <row r="88" spans="1:24" ht="16.2" thickBot="1" x14ac:dyDescent="0.35">
      <c r="A88" s="512">
        <f>A86+1</f>
        <v>42</v>
      </c>
      <c r="B88" s="287" t="s">
        <v>263</v>
      </c>
      <c r="C88" s="52"/>
      <c r="D88" s="286"/>
      <c r="E88" s="52"/>
      <c r="F88" s="286"/>
      <c r="G88" s="52"/>
      <c r="H88" s="286"/>
      <c r="I88" s="52"/>
      <c r="J88" s="286"/>
      <c r="K88" s="52"/>
      <c r="L88" s="286"/>
      <c r="M88" s="52">
        <v>0.05</v>
      </c>
      <c r="N88" s="286"/>
      <c r="O88" s="52"/>
      <c r="P88" s="286"/>
      <c r="Q88" s="383">
        <f>C88+E88+G88+I88+K88+M88+O88</f>
        <v>0.05</v>
      </c>
      <c r="S88" s="8"/>
    </row>
    <row r="89" spans="1:24" ht="16.2" thickBot="1" x14ac:dyDescent="0.35">
      <c r="A89" s="9"/>
      <c r="C89" s="52"/>
      <c r="D89" s="286"/>
      <c r="E89" s="52"/>
      <c r="F89" s="286"/>
      <c r="G89" s="52"/>
      <c r="H89" s="286"/>
      <c r="I89" s="52"/>
      <c r="J89" s="286"/>
      <c r="K89" s="52"/>
      <c r="L89" s="286"/>
      <c r="M89" s="52"/>
      <c r="N89" s="286"/>
      <c r="O89" s="52"/>
      <c r="P89" s="286"/>
      <c r="Q89" s="381"/>
    </row>
    <row r="90" spans="1:24" ht="16.2" thickBot="1" x14ac:dyDescent="0.35">
      <c r="A90" s="512">
        <f>A88+1</f>
        <v>43</v>
      </c>
      <c r="B90" s="287" t="s">
        <v>364</v>
      </c>
      <c r="C90" s="52"/>
      <c r="D90" s="286"/>
      <c r="E90" s="52"/>
      <c r="F90" s="286"/>
      <c r="G90" s="52">
        <v>0.40600000000000003</v>
      </c>
      <c r="H90" s="286"/>
      <c r="I90" s="52"/>
      <c r="J90" s="286"/>
      <c r="K90" s="52"/>
      <c r="L90" s="286"/>
      <c r="M90" s="52"/>
      <c r="N90" s="286"/>
      <c r="O90" s="52"/>
      <c r="P90" s="286"/>
      <c r="Q90" s="383">
        <f>C90+E90+G90+I90+K90+M90+O90</f>
        <v>0.40600000000000003</v>
      </c>
      <c r="S90" s="8"/>
    </row>
    <row r="91" spans="1:24" ht="16.2" thickBot="1" x14ac:dyDescent="0.35">
      <c r="A91" s="9"/>
      <c r="C91" s="381"/>
      <c r="D91" s="286"/>
      <c r="E91" s="381"/>
      <c r="F91" s="286"/>
      <c r="G91" s="381"/>
      <c r="H91" s="286"/>
      <c r="I91" s="381"/>
      <c r="J91" s="286"/>
      <c r="K91" s="381"/>
      <c r="L91" s="286"/>
      <c r="M91" s="381"/>
      <c r="N91" s="286"/>
      <c r="O91" s="381"/>
      <c r="P91" s="286"/>
      <c r="Q91" s="381"/>
    </row>
    <row r="92" spans="1:24" ht="16.2" thickBot="1" x14ac:dyDescent="0.35">
      <c r="A92" s="298">
        <v>44</v>
      </c>
      <c r="B92" s="287" t="s">
        <v>25</v>
      </c>
      <c r="C92" s="285">
        <f>SUM(C6:C90)</f>
        <v>1.5085950000000004</v>
      </c>
      <c r="D92" s="286"/>
      <c r="E92" s="285">
        <f>SUM(E6:E90)</f>
        <v>4.3108419999999992</v>
      </c>
      <c r="F92" s="286"/>
      <c r="G92" s="285">
        <f>SUM(G6:G90)</f>
        <v>21.517713000000001</v>
      </c>
      <c r="H92" s="286"/>
      <c r="I92" s="285">
        <f>SUM(I6:I90)</f>
        <v>2.5741920270798939</v>
      </c>
      <c r="J92" s="286"/>
      <c r="K92" s="285">
        <f>SUM(K6:K90)</f>
        <v>0.689716</v>
      </c>
      <c r="L92" s="286"/>
      <c r="M92" s="285">
        <f>SUM(M6:M90)</f>
        <v>0.44219649999999999</v>
      </c>
      <c r="N92" s="286"/>
      <c r="O92" s="285">
        <f>SUM(O6:O90)</f>
        <v>9.964390972920107</v>
      </c>
      <c r="P92" s="286"/>
      <c r="Q92" s="285">
        <f>SUM(Q6:Q90)</f>
        <v>41.007645499999981</v>
      </c>
    </row>
    <row r="93" spans="1:24" ht="15.6" x14ac:dyDescent="0.3">
      <c r="A93" s="9"/>
    </row>
    <row r="95" spans="1:24" ht="15.6" x14ac:dyDescent="0.3">
      <c r="Q95" s="293">
        <v>60.189645499999997</v>
      </c>
      <c r="R95" s="289" t="s">
        <v>216</v>
      </c>
      <c r="S95" s="289"/>
      <c r="T95" s="294"/>
      <c r="U95" s="294"/>
      <c r="V95" s="294"/>
      <c r="W95" s="294"/>
      <c r="X95" s="294"/>
    </row>
    <row r="96" spans="1:24" ht="15.6" x14ac:dyDescent="0.3">
      <c r="Q96" s="293">
        <v>1.1499999999999999</v>
      </c>
      <c r="R96" s="299" t="s">
        <v>246</v>
      </c>
      <c r="S96" s="289"/>
      <c r="T96" s="294"/>
      <c r="U96" s="294"/>
      <c r="V96" s="294"/>
      <c r="W96" s="294"/>
      <c r="X96" s="294"/>
    </row>
    <row r="97" spans="17:24" ht="15.6" x14ac:dyDescent="0.3">
      <c r="Q97" s="293">
        <v>-0.83699999999999997</v>
      </c>
      <c r="R97" s="299" t="s">
        <v>250</v>
      </c>
      <c r="S97" s="289"/>
      <c r="T97" s="294"/>
      <c r="U97" s="294"/>
      <c r="V97" s="294"/>
      <c r="W97" s="294"/>
      <c r="X97" s="294"/>
    </row>
    <row r="98" spans="17:24" ht="15.6" x14ac:dyDescent="0.3">
      <c r="Q98" s="293">
        <v>0.01</v>
      </c>
      <c r="R98" s="299" t="s">
        <v>252</v>
      </c>
      <c r="S98" s="289"/>
      <c r="T98" s="294"/>
      <c r="U98" s="294"/>
      <c r="V98" s="294"/>
      <c r="W98" s="294"/>
      <c r="X98" s="294"/>
    </row>
    <row r="99" spans="17:24" ht="15.6" x14ac:dyDescent="0.3">
      <c r="Q99" s="293">
        <v>-15.266999999999999</v>
      </c>
      <c r="R99" s="299" t="s">
        <v>254</v>
      </c>
      <c r="S99" s="289"/>
      <c r="T99" s="294"/>
      <c r="U99" s="294"/>
      <c r="V99" s="294"/>
      <c r="W99" s="294"/>
      <c r="X99" s="294"/>
    </row>
    <row r="100" spans="17:24" ht="15.6" x14ac:dyDescent="0.3">
      <c r="Q100" s="293">
        <v>-8.5000000000000006E-2</v>
      </c>
      <c r="R100" s="299" t="s">
        <v>375</v>
      </c>
      <c r="S100" s="289"/>
      <c r="T100" s="294"/>
      <c r="U100" s="294"/>
      <c r="V100" s="294"/>
      <c r="W100" s="294"/>
      <c r="X100" s="294"/>
    </row>
    <row r="101" spans="17:24" ht="15.6" x14ac:dyDescent="0.3">
      <c r="Q101" s="293">
        <v>-0.08</v>
      </c>
      <c r="R101" s="299" t="s">
        <v>376</v>
      </c>
      <c r="S101" s="289"/>
      <c r="T101" s="294"/>
      <c r="U101" s="294"/>
      <c r="V101" s="294"/>
      <c r="W101" s="294"/>
      <c r="X101" s="294"/>
    </row>
    <row r="102" spans="17:24" ht="15.6" x14ac:dyDescent="0.3">
      <c r="Q102" s="293">
        <v>0.05</v>
      </c>
      <c r="R102" s="299" t="s">
        <v>264</v>
      </c>
      <c r="S102" s="294"/>
      <c r="T102" s="294"/>
      <c r="U102" s="294"/>
      <c r="V102" s="294"/>
      <c r="W102" s="294"/>
      <c r="X102" s="294"/>
    </row>
    <row r="103" spans="17:24" ht="15.6" x14ac:dyDescent="0.3">
      <c r="Q103" s="293">
        <v>-4.5289999999999999</v>
      </c>
      <c r="R103" s="299" t="s">
        <v>283</v>
      </c>
      <c r="S103" s="294"/>
      <c r="T103" s="294"/>
      <c r="U103" s="294"/>
      <c r="V103" s="294"/>
      <c r="W103" s="294"/>
      <c r="X103" s="294"/>
    </row>
    <row r="104" spans="17:24" ht="15.6" x14ac:dyDescent="0.3">
      <c r="Q104" s="293">
        <v>0.40600000000000003</v>
      </c>
      <c r="R104" s="299" t="s">
        <v>349</v>
      </c>
      <c r="S104" s="294"/>
      <c r="T104" s="294"/>
      <c r="U104" s="294"/>
      <c r="V104" s="294"/>
      <c r="W104" s="294"/>
      <c r="X104" s="294"/>
    </row>
    <row r="105" spans="17:24" ht="15.6" x14ac:dyDescent="0.3">
      <c r="Q105" s="293">
        <f>SUM(Q95:Q104)</f>
        <v>41.007645499999988</v>
      </c>
      <c r="R105" s="289" t="s">
        <v>217</v>
      </c>
      <c r="S105" s="294"/>
      <c r="T105" s="294"/>
      <c r="U105" s="294"/>
      <c r="V105" s="294"/>
      <c r="W105" s="294"/>
      <c r="X105" s="294"/>
    </row>
  </sheetData>
  <pageMargins left="0.25" right="0.25" top="0.75" bottom="0.75" header="0.3" footer="0.3"/>
  <pageSetup paperSize="9" scale="3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F30"/>
  <sheetViews>
    <sheetView zoomScale="60" workbookViewId="0">
      <pane xSplit="1" ySplit="5" topLeftCell="B6" activePane="bottomRight" state="frozen"/>
      <selection activeCell="K4" sqref="K4"/>
      <selection pane="topRight" activeCell="K4" sqref="K4"/>
      <selection pane="bottomLeft" activeCell="K4" sqref="K4"/>
      <selection pane="bottomRight" activeCell="F5" sqref="F5"/>
    </sheetView>
  </sheetViews>
  <sheetFormatPr defaultColWidth="7.08984375" defaultRowHeight="15" x14ac:dyDescent="0.25"/>
  <cols>
    <col min="1" max="1" width="50.54296875" style="108" bestFit="1" customWidth="1"/>
    <col min="2" max="2" width="17.90625" style="108" customWidth="1"/>
    <col min="3" max="3" width="15.08984375" style="8" customWidth="1"/>
    <col min="4" max="4" width="15.90625" style="8" customWidth="1"/>
    <col min="5" max="5" width="14.08984375" style="108" customWidth="1"/>
    <col min="6" max="16384" width="7.08984375" style="108"/>
  </cols>
  <sheetData>
    <row r="1" spans="1:6" ht="15.6" x14ac:dyDescent="0.3">
      <c r="A1" s="107" t="s">
        <v>33</v>
      </c>
      <c r="C1" s="9"/>
      <c r="D1" s="9"/>
    </row>
    <row r="2" spans="1:6" ht="15.6" x14ac:dyDescent="0.3">
      <c r="A2" s="107"/>
      <c r="C2" s="9"/>
      <c r="D2" s="9"/>
    </row>
    <row r="3" spans="1:6" ht="16.2" thickBot="1" x14ac:dyDescent="0.35">
      <c r="A3" s="107"/>
      <c r="C3" s="9"/>
      <c r="D3" s="9"/>
    </row>
    <row r="4" spans="1:6" ht="16.2" thickBot="1" x14ac:dyDescent="0.35">
      <c r="A4" s="324"/>
      <c r="B4" s="325">
        <v>1</v>
      </c>
      <c r="C4" s="306">
        <v>2</v>
      </c>
      <c r="D4" s="306">
        <v>3</v>
      </c>
    </row>
    <row r="5" spans="1:6" ht="103.5" customHeight="1" thickBot="1" x14ac:dyDescent="0.3">
      <c r="A5" s="322"/>
      <c r="B5" s="326" t="s">
        <v>377</v>
      </c>
      <c r="C5" s="143" t="s">
        <v>378</v>
      </c>
      <c r="D5" s="534" t="s">
        <v>237</v>
      </c>
    </row>
    <row r="6" spans="1:6" ht="16.2" thickBot="1" x14ac:dyDescent="0.3">
      <c r="A6" s="323" t="s">
        <v>7</v>
      </c>
      <c r="B6" s="321" t="s">
        <v>15</v>
      </c>
      <c r="C6" s="567" t="s">
        <v>15</v>
      </c>
      <c r="D6" s="576" t="s">
        <v>15</v>
      </c>
    </row>
    <row r="7" spans="1:6" ht="16.5" customHeight="1" x14ac:dyDescent="0.25">
      <c r="A7" s="300"/>
      <c r="B7" s="320"/>
      <c r="C7" s="568"/>
      <c r="D7" s="577"/>
    </row>
    <row r="8" spans="1:6" ht="15.6" x14ac:dyDescent="0.3">
      <c r="A8" s="301" t="s">
        <v>20</v>
      </c>
      <c r="B8" s="312">
        <v>107.87909107999999</v>
      </c>
      <c r="C8" s="569">
        <v>0.81499999999999995</v>
      </c>
      <c r="D8" s="578">
        <f>SUM(B8:C8)</f>
        <v>108.69409107999999</v>
      </c>
      <c r="E8" s="164"/>
      <c r="F8" s="164"/>
    </row>
    <row r="9" spans="1:6" ht="15.6" x14ac:dyDescent="0.25">
      <c r="A9" s="302"/>
      <c r="B9" s="312"/>
      <c r="C9" s="570"/>
      <c r="D9" s="579"/>
      <c r="E9" s="164"/>
      <c r="F9" s="164"/>
    </row>
    <row r="10" spans="1:6" ht="15.6" x14ac:dyDescent="0.3">
      <c r="A10" s="301" t="s">
        <v>29</v>
      </c>
      <c r="B10" s="312">
        <v>139.52991311999997</v>
      </c>
      <c r="C10" s="571">
        <v>0.26600000000000001</v>
      </c>
      <c r="D10" s="578">
        <f>SUM(B10:C10)</f>
        <v>139.79591311999997</v>
      </c>
      <c r="E10" s="164"/>
      <c r="F10" s="164"/>
    </row>
    <row r="11" spans="1:6" ht="15.6" x14ac:dyDescent="0.3">
      <c r="A11" s="303"/>
      <c r="B11" s="312"/>
      <c r="C11" s="571"/>
      <c r="D11" s="580"/>
      <c r="E11" s="164"/>
      <c r="F11" s="164"/>
    </row>
    <row r="12" spans="1:6" ht="15.6" x14ac:dyDescent="0.3">
      <c r="A12" s="301" t="s">
        <v>21</v>
      </c>
      <c r="B12" s="312">
        <v>80.668154919999964</v>
      </c>
      <c r="C12" s="571">
        <v>0.308</v>
      </c>
      <c r="D12" s="578">
        <f>SUM(B12:C12)</f>
        <v>80.976154919999971</v>
      </c>
      <c r="E12" s="164"/>
      <c r="F12" s="164"/>
    </row>
    <row r="13" spans="1:6" ht="15.6" x14ac:dyDescent="0.25">
      <c r="A13" s="302"/>
      <c r="B13" s="312"/>
      <c r="C13" s="570"/>
      <c r="D13" s="579"/>
    </row>
    <row r="14" spans="1:6" ht="15.6" x14ac:dyDescent="0.3">
      <c r="A14" s="301" t="s">
        <v>134</v>
      </c>
      <c r="B14" s="312">
        <v>83.25317397052082</v>
      </c>
      <c r="C14" s="571">
        <v>0.249</v>
      </c>
      <c r="D14" s="578">
        <f>SUM(B14:C14)</f>
        <v>83.502173970520815</v>
      </c>
    </row>
    <row r="15" spans="1:6" ht="15.6" x14ac:dyDescent="0.25">
      <c r="A15" s="301"/>
      <c r="B15" s="312"/>
      <c r="C15" s="572"/>
      <c r="D15" s="581"/>
    </row>
    <row r="16" spans="1:6" ht="15.6" x14ac:dyDescent="0.3">
      <c r="A16" s="301" t="s">
        <v>23</v>
      </c>
      <c r="B16" s="312">
        <v>77.102338520000032</v>
      </c>
      <c r="C16" s="573">
        <v>0.17399999999999999</v>
      </c>
      <c r="D16" s="578">
        <f>SUM(B16:C16)</f>
        <v>77.276338520000039</v>
      </c>
      <c r="F16" s="108" t="s">
        <v>7</v>
      </c>
    </row>
    <row r="17" spans="1:4" ht="15.6" x14ac:dyDescent="0.25">
      <c r="A17" s="302"/>
      <c r="B17" s="312"/>
      <c r="C17" s="572"/>
      <c r="D17" s="581"/>
    </row>
    <row r="18" spans="1:4" s="112" customFormat="1" ht="15.6" x14ac:dyDescent="0.3">
      <c r="A18" s="301" t="s">
        <v>22</v>
      </c>
      <c r="B18" s="312">
        <v>35.656808999999996</v>
      </c>
      <c r="C18" s="573">
        <v>2.8000000000000001E-2</v>
      </c>
      <c r="D18" s="578">
        <f>SUM(B18:C18)</f>
        <v>35.684808999999994</v>
      </c>
    </row>
    <row r="19" spans="1:4" s="112" customFormat="1" ht="15.6" x14ac:dyDescent="0.3">
      <c r="A19" s="304"/>
      <c r="B19" s="312"/>
      <c r="C19" s="573"/>
      <c r="D19" s="582"/>
    </row>
    <row r="20" spans="1:4" ht="15.6" x14ac:dyDescent="0.3">
      <c r="A20" s="301" t="s">
        <v>135</v>
      </c>
      <c r="B20" s="312">
        <v>68.842777869479193</v>
      </c>
      <c r="C20" s="571">
        <v>0.55300000000000005</v>
      </c>
      <c r="D20" s="578">
        <f>SUM(B20:C20)</f>
        <v>69.39577786947919</v>
      </c>
    </row>
    <row r="21" spans="1:4" ht="15.6" thickBot="1" x14ac:dyDescent="0.3">
      <c r="A21" s="305"/>
      <c r="B21" s="318"/>
      <c r="C21" s="574"/>
      <c r="D21" s="583"/>
    </row>
    <row r="22" spans="1:4" ht="25.5" customHeight="1" thickBot="1" x14ac:dyDescent="0.35">
      <c r="A22" s="125" t="s">
        <v>0</v>
      </c>
      <c r="B22" s="307">
        <f t="shared" ref="B22" si="0">B10+B20+B16+B18+B14+B12+B8</f>
        <v>592.93225847999997</v>
      </c>
      <c r="C22" s="575">
        <f>C8+C12+C14+C18+C16+C20+C10</f>
        <v>2.3929999999999998</v>
      </c>
      <c r="D22" s="308">
        <f>D8+D12+D14+D18+D16+D20+D10</f>
        <v>595.32525848</v>
      </c>
    </row>
    <row r="24" spans="1:4" x14ac:dyDescent="0.25">
      <c r="C24" s="178"/>
      <c r="D24" s="178"/>
    </row>
    <row r="25" spans="1:4" ht="60" customHeight="1" x14ac:dyDescent="0.25"/>
    <row r="30" spans="1:4" ht="30" customHeight="1" x14ac:dyDescent="0.25"/>
  </sheetData>
  <phoneticPr fontId="13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  <pageSetUpPr fitToPage="1"/>
  </sheetPr>
  <dimension ref="A1:H24"/>
  <sheetViews>
    <sheetView zoomScale="65" workbookViewId="0">
      <selection activeCell="E4" sqref="E4:E20"/>
    </sheetView>
  </sheetViews>
  <sheetFormatPr defaultColWidth="8.90625" defaultRowHeight="15" x14ac:dyDescent="0.25"/>
  <cols>
    <col min="1" max="1" width="44.1796875" style="8" customWidth="1"/>
    <col min="2" max="4" width="13.81640625" style="8" customWidth="1"/>
    <col min="5" max="5" width="15.90625" style="8" customWidth="1"/>
    <col min="6" max="6" width="4.81640625" style="8" customWidth="1"/>
    <col min="7" max="16384" width="8.90625" style="8"/>
  </cols>
  <sheetData>
    <row r="1" spans="1:8" ht="15.6" x14ac:dyDescent="0.3">
      <c r="A1" s="9" t="s">
        <v>34</v>
      </c>
      <c r="B1" s="9"/>
      <c r="C1" s="9"/>
      <c r="D1" s="9"/>
      <c r="E1" s="9"/>
    </row>
    <row r="2" spans="1:8" ht="15.6" thickBot="1" x14ac:dyDescent="0.3"/>
    <row r="3" spans="1:8" ht="15.6" x14ac:dyDescent="0.3">
      <c r="A3" s="173"/>
      <c r="B3" s="274">
        <v>1</v>
      </c>
      <c r="C3" s="281">
        <v>2</v>
      </c>
      <c r="D3" s="281">
        <v>3</v>
      </c>
      <c r="E3" s="275">
        <v>4</v>
      </c>
    </row>
    <row r="4" spans="1:8" s="113" customFormat="1" ht="113.25" customHeight="1" thickBot="1" x14ac:dyDescent="0.3">
      <c r="A4" s="172"/>
      <c r="B4" s="224" t="s">
        <v>219</v>
      </c>
      <c r="C4" s="72" t="s">
        <v>262</v>
      </c>
      <c r="D4" s="394" t="s">
        <v>262</v>
      </c>
      <c r="E4" s="234" t="s">
        <v>237</v>
      </c>
    </row>
    <row r="5" spans="1:8" s="113" customFormat="1" ht="16.5" customHeight="1" x14ac:dyDescent="0.25">
      <c r="A5" s="114"/>
      <c r="B5" s="225" t="s">
        <v>15</v>
      </c>
      <c r="C5" s="396" t="s">
        <v>15</v>
      </c>
      <c r="D5" s="395" t="s">
        <v>15</v>
      </c>
      <c r="E5" s="276" t="s">
        <v>15</v>
      </c>
    </row>
    <row r="6" spans="1:8" s="113" customFormat="1" ht="15" customHeight="1" x14ac:dyDescent="0.25">
      <c r="A6" s="118"/>
      <c r="B6" s="166"/>
      <c r="C6" s="257"/>
      <c r="D6" s="136"/>
      <c r="E6" s="235"/>
    </row>
    <row r="7" spans="1:8" s="9" customFormat="1" ht="13.5" customHeight="1" x14ac:dyDescent="0.3">
      <c r="A7" s="109" t="s">
        <v>20</v>
      </c>
      <c r="B7" s="226">
        <v>33.407000000000004</v>
      </c>
      <c r="C7" s="309">
        <v>0.30199999999999999</v>
      </c>
      <c r="D7" s="313">
        <v>1.208</v>
      </c>
      <c r="E7" s="236">
        <f>SUM(B7:D7)</f>
        <v>34.917000000000002</v>
      </c>
      <c r="G7" s="115"/>
      <c r="H7" s="115"/>
    </row>
    <row r="8" spans="1:8" ht="13.5" customHeight="1" x14ac:dyDescent="0.25">
      <c r="A8" s="110"/>
      <c r="B8" s="227"/>
      <c r="C8" s="397"/>
      <c r="D8" s="314"/>
      <c r="E8" s="237"/>
      <c r="G8" s="116"/>
    </row>
    <row r="9" spans="1:8" s="9" customFormat="1" ht="15.75" customHeight="1" x14ac:dyDescent="0.3">
      <c r="A9" s="109" t="s">
        <v>29</v>
      </c>
      <c r="B9" s="228">
        <v>35.899000000000001</v>
      </c>
      <c r="C9" s="310">
        <v>0.35</v>
      </c>
      <c r="D9" s="315">
        <v>1.4</v>
      </c>
      <c r="E9" s="236">
        <f>SUM(B9:D9)</f>
        <v>37.649000000000001</v>
      </c>
      <c r="G9" s="115"/>
      <c r="H9" s="115"/>
    </row>
    <row r="10" spans="1:8" s="9" customFormat="1" ht="15.75" customHeight="1" x14ac:dyDescent="0.3">
      <c r="A10" s="111"/>
      <c r="B10" s="228"/>
      <c r="C10" s="310"/>
      <c r="D10" s="315"/>
      <c r="E10" s="238"/>
      <c r="G10" s="115"/>
      <c r="H10" s="115"/>
    </row>
    <row r="11" spans="1:8" s="9" customFormat="1" ht="13.5" customHeight="1" x14ac:dyDescent="0.3">
      <c r="A11" s="109" t="s">
        <v>21</v>
      </c>
      <c r="B11" s="228">
        <v>23.704000000000001</v>
      </c>
      <c r="C11" s="310">
        <v>0.21299999999999999</v>
      </c>
      <c r="D11" s="315">
        <v>0.85199999999999998</v>
      </c>
      <c r="E11" s="236">
        <f>SUM(B11:D11)</f>
        <v>24.769000000000002</v>
      </c>
      <c r="G11" s="115"/>
      <c r="H11" s="115"/>
    </row>
    <row r="12" spans="1:8" ht="13.5" customHeight="1" x14ac:dyDescent="0.25">
      <c r="A12" s="110"/>
      <c r="B12" s="227"/>
      <c r="C12" s="397"/>
      <c r="D12" s="314"/>
      <c r="E12" s="237"/>
      <c r="G12" s="116"/>
    </row>
    <row r="13" spans="1:8" s="9" customFormat="1" ht="13.5" customHeight="1" x14ac:dyDescent="0.3">
      <c r="A13" s="109" t="s">
        <v>134</v>
      </c>
      <c r="B13" s="228">
        <v>28.510162706900001</v>
      </c>
      <c r="C13" s="310">
        <v>0.24</v>
      </c>
      <c r="D13" s="315">
        <v>0.96</v>
      </c>
      <c r="E13" s="236">
        <f>SUM(B13:D13)</f>
        <v>29.7101627069</v>
      </c>
      <c r="G13" s="115"/>
      <c r="H13" s="115"/>
    </row>
    <row r="14" spans="1:8" ht="13.5" customHeight="1" x14ac:dyDescent="0.25">
      <c r="A14" s="109"/>
      <c r="B14" s="229"/>
      <c r="C14" s="398"/>
      <c r="D14" s="316"/>
      <c r="E14" s="239"/>
      <c r="G14" s="116"/>
    </row>
    <row r="15" spans="1:8" s="9" customFormat="1" ht="13.5" customHeight="1" x14ac:dyDescent="0.3">
      <c r="A15" s="109" t="s">
        <v>23</v>
      </c>
      <c r="B15" s="230">
        <v>22.248000000000005</v>
      </c>
      <c r="C15" s="311">
        <v>0.20200000000000001</v>
      </c>
      <c r="D15" s="317">
        <v>0.80800000000000005</v>
      </c>
      <c r="E15" s="236">
        <f>SUM(B15:D15)</f>
        <v>23.258000000000006</v>
      </c>
      <c r="G15" s="115"/>
      <c r="H15" s="115"/>
    </row>
    <row r="16" spans="1:8" ht="13.5" customHeight="1" x14ac:dyDescent="0.25">
      <c r="A16" s="110"/>
      <c r="B16" s="229"/>
      <c r="C16" s="398"/>
      <c r="D16" s="316"/>
      <c r="E16" s="239"/>
      <c r="G16" s="116"/>
    </row>
    <row r="17" spans="1:8" s="9" customFormat="1" ht="14.25" customHeight="1" x14ac:dyDescent="0.3">
      <c r="A17" s="137" t="s">
        <v>22</v>
      </c>
      <c r="B17" s="230">
        <v>5.1710000000000003</v>
      </c>
      <c r="C17" s="311">
        <v>6.7000000000000004E-2</v>
      </c>
      <c r="D17" s="317">
        <v>0.26800000000000002</v>
      </c>
      <c r="E17" s="236">
        <f>SUM(B17:D17)</f>
        <v>5.5060000000000002</v>
      </c>
      <c r="G17" s="115"/>
      <c r="H17" s="115"/>
    </row>
    <row r="18" spans="1:8" s="9" customFormat="1" ht="14.25" customHeight="1" x14ac:dyDescent="0.3">
      <c r="A18" s="219"/>
      <c r="B18" s="231"/>
      <c r="C18" s="399"/>
      <c r="D18" s="400"/>
      <c r="E18" s="240"/>
      <c r="G18" s="115"/>
      <c r="H18" s="115"/>
    </row>
    <row r="19" spans="1:8" s="9" customFormat="1" ht="13.5" customHeight="1" x14ac:dyDescent="0.3">
      <c r="A19" s="109" t="s">
        <v>136</v>
      </c>
      <c r="B19" s="228">
        <v>22.257837293100003</v>
      </c>
      <c r="C19" s="310">
        <v>0.20300000000000001</v>
      </c>
      <c r="D19" s="315">
        <v>0.81200000000000006</v>
      </c>
      <c r="E19" s="236">
        <f>SUM(B19:D19)</f>
        <v>23.272837293100004</v>
      </c>
      <c r="G19" s="115"/>
      <c r="H19" s="115"/>
    </row>
    <row r="20" spans="1:8" ht="13.5" customHeight="1" thickBot="1" x14ac:dyDescent="0.35">
      <c r="A20" s="138"/>
      <c r="B20" s="279"/>
      <c r="C20" s="280"/>
      <c r="D20" s="319"/>
      <c r="E20" s="277"/>
      <c r="G20" s="116"/>
    </row>
    <row r="21" spans="1:8" s="9" customFormat="1" ht="16.2" thickBot="1" x14ac:dyDescent="0.35">
      <c r="A21" s="117" t="s">
        <v>0</v>
      </c>
      <c r="B21" s="183">
        <f>B7+B11+B13+B17+B15+B19+B9</f>
        <v>171.19700000000003</v>
      </c>
      <c r="C21" s="183">
        <f>C7+C11+C13+C17+C15+C19+C9</f>
        <v>1.577</v>
      </c>
      <c r="D21" s="183">
        <f>D7+D11+D13+D17+D15+D19+D9</f>
        <v>6.3079999999999998</v>
      </c>
      <c r="E21" s="278">
        <f>E7+E11+E13+E17+E15+E19+E9</f>
        <v>179.08200000000002</v>
      </c>
      <c r="G21" s="115"/>
      <c r="H21" s="115"/>
    </row>
    <row r="23" spans="1:8" x14ac:dyDescent="0.25">
      <c r="B23" s="178"/>
      <c r="C23" s="178"/>
      <c r="D23" s="178"/>
      <c r="E23" s="178"/>
    </row>
    <row r="24" spans="1:8" x14ac:dyDescent="0.25">
      <c r="C24" s="113"/>
      <c r="D24" s="113"/>
    </row>
  </sheetData>
  <phoneticPr fontId="13" type="noConversion"/>
  <pageMargins left="0.78740157480314965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A46875163</value>
    </field>
    <field name="Objective-Title">
      <value order="0">2024-25 Health Board  Allocation  -  TABLES</value>
    </field>
    <field name="Objective-Description">
      <value order="0"/>
    </field>
    <field name="Objective-CreationStamp">
      <value order="0">2023-09-26T10:55:48Z</value>
    </field>
    <field name="Objective-IsApproved">
      <value order="0">false</value>
    </field>
    <field name="Objective-IsPublished">
      <value order="0">true</value>
    </field>
    <field name="Objective-DatePublished">
      <value order="0">2023-12-19T15:33:36Z</value>
    </field>
    <field name="Objective-ModificationStamp">
      <value order="0">2023-12-19T15:33:36Z</value>
    </field>
    <field name="Objective-Owner">
      <value order="0">Broughton, Julie (HSS - NHS Finance - HSS Finance)</value>
    </field>
    <field name="Objective-Path">
      <value order="0">Objective Global Folder:#Business File Plan:WG Organisational Groups:NEW - Post April 2022 - Health &amp; Social Services:HSS Director of Finance:Health &amp; Social Services (HSS) - FD - Financial Management and Financial Planning:1 - Save:# Financial Planning:Management Accounts Team:Budget Monitoring:Budget Holder Information:2024/2025:FY2024/2025 - HSS Finance - Financial Planning &amp; Management - Health Board Revenue Allocation - 2024/2025:HB Allocation MA/EM/3262/23</value>
    </field>
    <field name="Objective-Parent">
      <value order="0">HB Allocation MA/EM/3262/23</value>
    </field>
    <field name="Objective-State">
      <value order="0">Published</value>
    </field>
    <field name="Objective-VersionId">
      <value order="0">vA91582160</value>
    </field>
    <field name="Objective-Version">
      <value order="0">29.0</value>
    </field>
    <field name="Objective-VersionNumber">
      <value order="0">32</value>
    </field>
    <field name="Objective-VersionComment">
      <value order="0"/>
    </field>
    <field name="Objective-FileNumber">
      <value order="0">qA1882659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2023-09-26T00:00:00Z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Contents</vt:lpstr>
      <vt:lpstr>Summary Revenue</vt:lpstr>
      <vt:lpstr>A1</vt:lpstr>
      <vt:lpstr>A2</vt:lpstr>
      <vt:lpstr>A3</vt:lpstr>
      <vt:lpstr>B1</vt:lpstr>
      <vt:lpstr>B2</vt:lpstr>
      <vt:lpstr>C</vt:lpstr>
      <vt:lpstr>E</vt:lpstr>
      <vt:lpstr>F</vt:lpstr>
      <vt:lpstr>Table 1</vt:lpstr>
      <vt:lpstr>Table 2</vt:lpstr>
      <vt:lpstr>Table 3</vt:lpstr>
      <vt:lpstr>Table 4 24 25 with analysis</vt:lpstr>
      <vt:lpstr>Table 5</vt:lpstr>
      <vt:lpstr>'A1'!Print_Area</vt:lpstr>
      <vt:lpstr>'A2'!Print_Area</vt:lpstr>
      <vt:lpstr>'A3'!Print_Area</vt:lpstr>
      <vt:lpstr>'B1'!Print_Area</vt:lpstr>
      <vt:lpstr>'B2'!Print_Area</vt:lpstr>
      <vt:lpstr>'C'!Print_Area</vt:lpstr>
      <vt:lpstr>E!Print_Area</vt:lpstr>
      <vt:lpstr>F!Print_Area</vt:lpstr>
      <vt:lpstr>'Summary Revenue'!Print_Area</vt:lpstr>
      <vt:lpstr>'Table 1'!Print_Area</vt:lpstr>
      <vt:lpstr>'Table 2'!Print_Area</vt:lpstr>
      <vt:lpstr>'Table 3'!Print_Area</vt:lpstr>
      <vt:lpstr>'Table 4 24 25 with analysis'!Print_Area</vt:lpstr>
      <vt:lpstr>'Table 5'!Print_Area</vt:lpstr>
    </vt:vector>
  </TitlesOfParts>
  <Company>National Assembly for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Morris</dc:creator>
  <cp:lastModifiedBy>Broughton, Julie (HSS - NHS Finance - HSS Finance)</cp:lastModifiedBy>
  <cp:lastPrinted>2023-12-19T11:16:26Z</cp:lastPrinted>
  <dcterms:created xsi:type="dcterms:W3CDTF">2002-12-04T11:47:40Z</dcterms:created>
  <dcterms:modified xsi:type="dcterms:W3CDTF">2023-12-19T15:33:25Z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A46875163</vt:lpwstr>
  </property>
  <property fmtid="{D5CDD505-2E9C-101B-9397-08002B2CF9AE}" pid="3" name="Objective-Title">
    <vt:lpwstr>2024-25 Health Board  Allocation  -  TABLES</vt:lpwstr>
  </property>
  <property fmtid="{D5CDD505-2E9C-101B-9397-08002B2CF9AE}" pid="4" name="Objective-Comment">
    <vt:lpwstr/>
  </property>
  <property fmtid="{D5CDD505-2E9C-101B-9397-08002B2CF9AE}" pid="5" name="Objective-CreationStamp">
    <vt:filetime>2023-09-26T10:55:48Z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2023-12-19T15:33:36Z</vt:filetime>
  </property>
  <property fmtid="{D5CDD505-2E9C-101B-9397-08002B2CF9AE}" pid="9" name="Objective-ModificationStamp">
    <vt:filetime>2023-12-19T15:33:36Z</vt:filetime>
  </property>
  <property fmtid="{D5CDD505-2E9C-101B-9397-08002B2CF9AE}" pid="10" name="Objective-Owner">
    <vt:lpwstr>Broughton, Julie (HSS - NHS Finance - HSS Finance)</vt:lpwstr>
  </property>
  <property fmtid="{D5CDD505-2E9C-101B-9397-08002B2CF9AE}" pid="11" name="Objective-Path">
    <vt:lpwstr>Objective Global Folder:#Business File Plan:WG Organisational Groups:NEW - Post April 2022 - Health &amp; Social Services:HSS Director of Finance:Health &amp; Social Services (HSS) - FD - Financial Management and Financial Planning:1 - Save:# Financial Planning:Management Accounts Team:Budget Monitoring:Budget Holder Information:2024/2025:FY2024/2025 - HSS Finance - Financial Planning &amp; Management - Health Board Revenue Allocation - 2024/2025:HB Allocation MA/EM/3262/23:</vt:lpwstr>
  </property>
  <property fmtid="{D5CDD505-2E9C-101B-9397-08002B2CF9AE}" pid="12" name="Objective-Parent">
    <vt:lpwstr>HB Allocation MA/EM/3262/23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29.0</vt:lpwstr>
  </property>
  <property fmtid="{D5CDD505-2E9C-101B-9397-08002B2CF9AE}" pid="15" name="Objective-VersionNumber">
    <vt:r8>32</vt:r8>
  </property>
  <property fmtid="{D5CDD505-2E9C-101B-9397-08002B2CF9AE}" pid="16" name="Objective-VersionComment">
    <vt:lpwstr/>
  </property>
  <property fmtid="{D5CDD505-2E9C-101B-9397-08002B2CF9AE}" pid="17" name="Objective-FileNumber">
    <vt:lpwstr>qA1882659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2019-01-02T23:00:00Z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Language">
    <vt:lpwstr>English (eng)</vt:lpwstr>
  </property>
  <property fmtid="{D5CDD505-2E9C-101B-9397-08002B2CF9AE}" pid="26" name="Objective-Date Acquired">
    <vt:filetime>2023-09-26T00:00:00Z</vt:filetime>
  </property>
  <property fmtid="{D5CDD505-2E9C-101B-9397-08002B2CF9AE}" pid="27" name="Objective-What to Keep">
    <vt:lpwstr>No</vt:lpwstr>
  </property>
  <property fmtid="{D5CDD505-2E9C-101B-9397-08002B2CF9AE}" pid="28" name="Objective-Official Translation">
    <vt:lpwstr/>
  </property>
  <property fmtid="{D5CDD505-2E9C-101B-9397-08002B2CF9AE}" pid="29" name="Objective-Connect Creator">
    <vt:lpwstr/>
  </property>
  <property fmtid="{D5CDD505-2E9C-101B-9397-08002B2CF9AE}" pid="30" name="Objective-Description">
    <vt:lpwstr/>
  </property>
  <property fmtid="{D5CDD505-2E9C-101B-9397-08002B2CF9AE}" pid="31" name="Objective-VersionId">
    <vt:lpwstr>vA91582160</vt:lpwstr>
  </property>
</Properties>
</file>