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claudia_cahalane_gov_wales/Documents/Profile/Documents/"/>
    </mc:Choice>
  </mc:AlternateContent>
  <bookViews>
    <workbookView xWindow="0" yWindow="0" windowWidth="19200" windowHeight="7030"/>
  </bookViews>
  <sheets>
    <sheet name="Contents" sheetId="54" r:id="rId1"/>
    <sheet name="Summary Revenue" sheetId="30" r:id="rId2"/>
    <sheet name="A1" sheetId="2" r:id="rId3"/>
    <sheet name="A2" sheetId="97" r:id="rId4"/>
    <sheet name="A3" sheetId="164" r:id="rId5"/>
    <sheet name="B1" sheetId="171" r:id="rId6"/>
    <sheet name="B2" sheetId="140" r:id="rId7"/>
    <sheet name="C" sheetId="153" r:id="rId8"/>
    <sheet name="E" sheetId="154" r:id="rId9"/>
    <sheet name="F" sheetId="155" r:id="rId10"/>
    <sheet name="Table 1" sheetId="138" r:id="rId11"/>
    <sheet name="Table 2" sheetId="149" r:id="rId12"/>
    <sheet name="Table 3" sheetId="168" r:id="rId13"/>
    <sheet name="Table 4" sheetId="162" r:id="rId14"/>
    <sheet name="Table 5" sheetId="167" r:id="rId15"/>
  </sheets>
  <externalReferences>
    <externalReference r:id="rId16"/>
  </externalReferences>
  <definedNames>
    <definedName name="_xlnm.Print_Area" localSheetId="2">'A1'!$A$1:$F$23</definedName>
    <definedName name="_xlnm.Print_Area" localSheetId="3">'A2'!$A$1:$K$25</definedName>
    <definedName name="_xlnm.Print_Area" localSheetId="4">'A3'!$A$1:$E$28</definedName>
    <definedName name="_xlnm.Print_Area" localSheetId="5">'B1'!$A$1:$R$26</definedName>
    <definedName name="_xlnm.Print_Area" localSheetId="6">'B2'!$A$1:$AO$24</definedName>
    <definedName name="_xlnm.Print_Area" localSheetId="7">'C'!$A$1:$C$26</definedName>
    <definedName name="_xlnm.Print_Area" localSheetId="8">E!$A$1:$I$24</definedName>
    <definedName name="_xlnm.Print_Area" localSheetId="9">F!$A$1:$H$27</definedName>
    <definedName name="_xlnm.Print_Area" localSheetId="1">'Summary Revenue'!$A$1:$I$23</definedName>
    <definedName name="_xlnm.Print_Area" localSheetId="10">'Table 1'!$A$1:$E$25</definedName>
    <definedName name="_xlnm.Print_Area" localSheetId="11">'Table 2'!$A$1:$N$25</definedName>
    <definedName name="_xlnm.Print_Area" localSheetId="12">'Table 3'!$A$1:$CL$48</definedName>
    <definedName name="_xlnm.Print_Area" localSheetId="13">'Table 4'!$A$1:$U$95</definedName>
    <definedName name="_xlnm.Print_Area" localSheetId="14">'Table 5'!$A$1:$M$27</definedName>
    <definedName name="Transitional" localSheetId="4">'[1]Chemist_Data workings'!#REF!</definedName>
    <definedName name="Transitional" localSheetId="5">'[1]Chemist_Data workings'!#REF!</definedName>
    <definedName name="Transitional" localSheetId="8">#REF!</definedName>
    <definedName name="Transitional" localSheetId="14">'[1]Chemist_Data workings'!#REF!</definedName>
    <definedName name="Transitional">'[1]Chemist_Data workings'!#REF!</definedName>
    <definedName name="Z_92B97691_A213_481E_9B20_3BF43CB76868_.wvu.PrintArea" localSheetId="3" hidden="1">'A2'!$A$1:$K$16</definedName>
    <definedName name="Z_92B97691_A213_481E_9B20_3BF43CB76868_.wvu.PrintArea" localSheetId="4" hidden="1">'A3'!$A$1:$D$16</definedName>
  </definedNames>
  <calcPr calcId="162913"/>
  <customWorkbookViews>
    <customWorkbookView name="Gavin Lewis - Personal View" guid="{92B97691-A213-481E-9B20-3BF43CB76868}" mergeInterval="0" personalView="1" maximized="1" windowWidth="796" windowHeight="432" tabRatio="921" activeSheetId="16" showComments="commIndAndComment"/>
  </customWorkbookViews>
</workbook>
</file>

<file path=xl/calcChain.xml><?xml version="1.0" encoding="utf-8"?>
<calcChain xmlns="http://schemas.openxmlformats.org/spreadsheetml/2006/main">
  <c r="F21" i="97" l="1"/>
  <c r="F3" i="97"/>
  <c r="G3" i="97" s="1"/>
  <c r="H3" i="97" s="1"/>
  <c r="I3" i="97" s="1"/>
  <c r="J3" i="97" s="1"/>
  <c r="E3" i="155" l="1"/>
  <c r="F3" i="155" s="1"/>
  <c r="E21" i="155"/>
  <c r="F19" i="155"/>
  <c r="F17" i="155"/>
  <c r="F15" i="155"/>
  <c r="F13" i="155"/>
  <c r="F11" i="155"/>
  <c r="F9" i="155"/>
  <c r="F7" i="155"/>
  <c r="AK22" i="140" l="1"/>
  <c r="AL22" i="140"/>
  <c r="AI4" i="140"/>
  <c r="AJ4" i="140" s="1"/>
  <c r="AK4" i="140" s="1"/>
  <c r="AL4" i="140" s="1"/>
  <c r="AM4" i="140" s="1"/>
  <c r="AN4" i="140" s="1"/>
  <c r="AJ22" i="140"/>
  <c r="AI22" i="140"/>
  <c r="E21" i="97" l="1"/>
  <c r="E3" i="97"/>
  <c r="D3" i="97" l="1"/>
  <c r="D21" i="97"/>
  <c r="CF26" i="168" l="1"/>
  <c r="CF39" i="168" s="1"/>
  <c r="CH4" i="168"/>
  <c r="O22" i="171" l="1"/>
  <c r="P22" i="171"/>
  <c r="O4" i="171"/>
  <c r="P4" i="171"/>
  <c r="Q4" i="171" s="1"/>
  <c r="E7" i="154" l="1"/>
  <c r="D21" i="154"/>
  <c r="C21" i="154"/>
  <c r="CE26" i="168" l="1"/>
  <c r="CE39" i="168" s="1"/>
  <c r="G20" i="171" l="1"/>
  <c r="G18" i="171"/>
  <c r="G16" i="171"/>
  <c r="G14" i="171"/>
  <c r="G12" i="171"/>
  <c r="G10" i="171"/>
  <c r="G8" i="171"/>
  <c r="D20" i="171" l="1"/>
  <c r="D18" i="171"/>
  <c r="D16" i="171"/>
  <c r="D14" i="171"/>
  <c r="D12" i="171"/>
  <c r="D10" i="171"/>
  <c r="D8" i="171"/>
  <c r="C20" i="171"/>
  <c r="C18" i="171"/>
  <c r="C16" i="171"/>
  <c r="C14" i="171"/>
  <c r="C12" i="171"/>
  <c r="C10" i="171"/>
  <c r="C8" i="171"/>
  <c r="N22" i="171" l="1"/>
  <c r="L22" i="171"/>
  <c r="K22" i="171"/>
  <c r="M20" i="171"/>
  <c r="J20" i="171"/>
  <c r="I20" i="171"/>
  <c r="H20" i="171"/>
  <c r="F20" i="171"/>
  <c r="E20" i="171"/>
  <c r="E22" i="171" s="1"/>
  <c r="M18" i="171"/>
  <c r="J18" i="171"/>
  <c r="I18" i="171"/>
  <c r="F18" i="171"/>
  <c r="F22" i="171" s="1"/>
  <c r="M16" i="171"/>
  <c r="J16" i="171"/>
  <c r="I16" i="171"/>
  <c r="B16" i="171"/>
  <c r="B22" i="171" s="1"/>
  <c r="M14" i="171"/>
  <c r="J14" i="171"/>
  <c r="I14" i="171"/>
  <c r="H14" i="171"/>
  <c r="F14" i="171"/>
  <c r="E14" i="171"/>
  <c r="M12" i="171"/>
  <c r="J12" i="171"/>
  <c r="I12" i="171"/>
  <c r="Q12" i="171" s="1"/>
  <c r="C13" i="30" s="1"/>
  <c r="M10" i="171"/>
  <c r="I10" i="171"/>
  <c r="G22" i="171"/>
  <c r="D22" i="171"/>
  <c r="C22" i="171"/>
  <c r="M8" i="171"/>
  <c r="J8" i="171"/>
  <c r="I8" i="171"/>
  <c r="F8" i="171"/>
  <c r="C4" i="171"/>
  <c r="D4" i="171" s="1"/>
  <c r="E4" i="171" s="1"/>
  <c r="F4" i="171" s="1"/>
  <c r="G4" i="171" s="1"/>
  <c r="H4" i="171" s="1"/>
  <c r="I4" i="171" s="1"/>
  <c r="J4" i="171" s="1"/>
  <c r="K4" i="171" s="1"/>
  <c r="L4" i="171" s="1"/>
  <c r="M4" i="171" s="1"/>
  <c r="N4" i="171" s="1"/>
  <c r="I22" i="171" l="1"/>
  <c r="Q14" i="171"/>
  <c r="C15" i="30" s="1"/>
  <c r="Q16" i="171"/>
  <c r="C17" i="30" s="1"/>
  <c r="Q18" i="171"/>
  <c r="C19" i="30" s="1"/>
  <c r="Q20" i="171"/>
  <c r="C21" i="30" s="1"/>
  <c r="Q8" i="171"/>
  <c r="J22" i="171"/>
  <c r="M22" i="171"/>
  <c r="H22" i="171"/>
  <c r="Q10" i="171"/>
  <c r="C9" i="30" l="1"/>
  <c r="Q22" i="171"/>
  <c r="C11" i="30"/>
  <c r="AM22" i="140"/>
  <c r="BX26" i="168" l="1"/>
  <c r="BX39" i="168" s="1"/>
  <c r="BY26" i="168"/>
  <c r="CH37" i="168"/>
  <c r="CH35" i="168"/>
  <c r="BW26" i="168"/>
  <c r="BW39" i="168" s="1"/>
  <c r="CC26" i="168"/>
  <c r="CC39" i="168" s="1"/>
  <c r="CD26" i="168"/>
  <c r="CD39" i="168" s="1"/>
  <c r="CG26" i="168"/>
  <c r="CG39" i="168" s="1"/>
  <c r="BZ26" i="168" l="1"/>
  <c r="BZ39" i="168" s="1"/>
  <c r="CA26" i="168"/>
  <c r="CA39" i="168" s="1"/>
  <c r="F21" i="149" l="1"/>
  <c r="G21" i="149"/>
  <c r="D3" i="149"/>
  <c r="E3" i="149"/>
  <c r="F3" i="149"/>
  <c r="G3" i="149"/>
  <c r="H3" i="149"/>
  <c r="I3" i="149"/>
  <c r="J3" i="149" s="1"/>
  <c r="K3" i="149" s="1"/>
  <c r="L3" i="149" s="1"/>
  <c r="M3" i="149" s="1"/>
  <c r="C3" i="97" l="1"/>
  <c r="CB26" i="168" l="1"/>
  <c r="CB39" i="168" s="1"/>
  <c r="BY39" i="168"/>
  <c r="B17" i="97" l="1"/>
  <c r="C21" i="97"/>
  <c r="BS26" i="168" l="1"/>
  <c r="BS39" i="168" s="1"/>
  <c r="BT26" i="168"/>
  <c r="BT39" i="168" s="1"/>
  <c r="BU26" i="168"/>
  <c r="BU39" i="168" s="1"/>
  <c r="BV26" i="168"/>
  <c r="BV39" i="168" s="1"/>
  <c r="AH22" i="140" l="1"/>
  <c r="AN16" i="140"/>
  <c r="BR26" i="168"/>
  <c r="BR39" i="168" s="1"/>
  <c r="CH29" i="168"/>
  <c r="CH22" i="168"/>
  <c r="CH18" i="168"/>
  <c r="CH16" i="168"/>
  <c r="CH12" i="168"/>
  <c r="CH10" i="168"/>
  <c r="CH8" i="168"/>
  <c r="X8" i="140" l="1"/>
  <c r="E19" i="154" l="1"/>
  <c r="G21" i="30" s="1"/>
  <c r="E17" i="154"/>
  <c r="E15" i="154"/>
  <c r="E13" i="154"/>
  <c r="G15" i="30" s="1"/>
  <c r="E11" i="154"/>
  <c r="G13" i="30" s="1"/>
  <c r="E9" i="154"/>
  <c r="G11" i="30" s="1"/>
  <c r="G9" i="30"/>
  <c r="BO26" i="168"/>
  <c r="BO39" i="168" s="1"/>
  <c r="BP26" i="168"/>
  <c r="BP39" i="168" s="1"/>
  <c r="I21" i="97"/>
  <c r="AF22" i="140"/>
  <c r="Q18" i="140"/>
  <c r="AN18" i="140" s="1"/>
  <c r="D19" i="30" s="1"/>
  <c r="C4" i="167"/>
  <c r="D4" i="167"/>
  <c r="E4" i="167"/>
  <c r="F4" i="167"/>
  <c r="G4" i="167"/>
  <c r="H4" i="167"/>
  <c r="I4" i="167"/>
  <c r="J4" i="167"/>
  <c r="K4" i="167"/>
  <c r="L4" i="167"/>
  <c r="F8" i="167"/>
  <c r="L8" i="167"/>
  <c r="L10" i="167"/>
  <c r="L12" i="167"/>
  <c r="B14" i="167"/>
  <c r="C14" i="167"/>
  <c r="E14" i="167"/>
  <c r="H14" i="167"/>
  <c r="L14" i="167"/>
  <c r="F16" i="167"/>
  <c r="L16" i="167"/>
  <c r="F18" i="167"/>
  <c r="L18" i="167"/>
  <c r="B20" i="167"/>
  <c r="C20" i="167"/>
  <c r="E20" i="167"/>
  <c r="H20" i="167"/>
  <c r="L20" i="167"/>
  <c r="B22" i="167"/>
  <c r="C22" i="167"/>
  <c r="D22" i="167"/>
  <c r="E22" i="167"/>
  <c r="F22" i="167"/>
  <c r="G22" i="167"/>
  <c r="H22" i="167"/>
  <c r="I22" i="167"/>
  <c r="J22" i="167"/>
  <c r="K22" i="167"/>
  <c r="L22" i="167"/>
  <c r="B6" i="162"/>
  <c r="B10" i="162"/>
  <c r="B12" i="162"/>
  <c r="B14" i="162"/>
  <c r="B16" i="162"/>
  <c r="B18" i="162"/>
  <c r="B20" i="162"/>
  <c r="B22" i="162"/>
  <c r="B24" i="162"/>
  <c r="B31" i="162"/>
  <c r="D31" i="162"/>
  <c r="H31" i="162"/>
  <c r="J31" i="162"/>
  <c r="L31" i="162"/>
  <c r="N31" i="162"/>
  <c r="U31" i="162"/>
  <c r="U32" i="162"/>
  <c r="U33" i="162"/>
  <c r="B34" i="162"/>
  <c r="J34" i="162"/>
  <c r="U34" i="162"/>
  <c r="B35" i="162"/>
  <c r="H35" i="162"/>
  <c r="J35" i="162"/>
  <c r="U35" i="162"/>
  <c r="U36" i="162"/>
  <c r="U37" i="162"/>
  <c r="B38" i="162"/>
  <c r="J38" i="162"/>
  <c r="L38" i="162"/>
  <c r="U38" i="162"/>
  <c r="U39" i="162"/>
  <c r="U40" i="162"/>
  <c r="U41" i="162"/>
  <c r="B42" i="162"/>
  <c r="D42" i="162"/>
  <c r="F42" i="162"/>
  <c r="H42" i="162"/>
  <c r="J42" i="162"/>
  <c r="L42" i="162"/>
  <c r="N42" i="162"/>
  <c r="P42" i="162"/>
  <c r="Q42" i="162"/>
  <c r="R42" i="162"/>
  <c r="S42" i="162"/>
  <c r="T42" i="162"/>
  <c r="U42" i="162"/>
  <c r="B44" i="162"/>
  <c r="J44" i="162"/>
  <c r="U44" i="162"/>
  <c r="U45" i="162"/>
  <c r="B46" i="162"/>
  <c r="J46" i="162"/>
  <c r="U46" i="162"/>
  <c r="B47" i="162"/>
  <c r="J47" i="162"/>
  <c r="U47" i="162"/>
  <c r="B48" i="162"/>
  <c r="C48" i="162"/>
  <c r="D48" i="162"/>
  <c r="E48" i="162"/>
  <c r="F48" i="162"/>
  <c r="G48" i="162"/>
  <c r="H48" i="162"/>
  <c r="I48" i="162"/>
  <c r="J48" i="162"/>
  <c r="K48" i="162"/>
  <c r="L48" i="162"/>
  <c r="M48" i="162"/>
  <c r="N48" i="162"/>
  <c r="O48" i="162"/>
  <c r="P48" i="162"/>
  <c r="Q48" i="162"/>
  <c r="R48" i="162"/>
  <c r="S48" i="162"/>
  <c r="T48" i="162"/>
  <c r="U48" i="162"/>
  <c r="B50" i="162"/>
  <c r="J50" i="162"/>
  <c r="U50" i="162"/>
  <c r="B51" i="162"/>
  <c r="J51" i="162"/>
  <c r="U51" i="162"/>
  <c r="U52" i="162"/>
  <c r="U53" i="162"/>
  <c r="U54" i="162"/>
  <c r="B55" i="162"/>
  <c r="C55" i="162"/>
  <c r="D55" i="162"/>
  <c r="E55" i="162"/>
  <c r="F55" i="162"/>
  <c r="G55" i="162"/>
  <c r="H55" i="162"/>
  <c r="I55" i="162"/>
  <c r="J55" i="162"/>
  <c r="K55" i="162"/>
  <c r="L55" i="162"/>
  <c r="M55" i="162"/>
  <c r="N55" i="162"/>
  <c r="O55" i="162"/>
  <c r="P55" i="162"/>
  <c r="Q55" i="162"/>
  <c r="R55" i="162"/>
  <c r="S55" i="162"/>
  <c r="T55" i="162"/>
  <c r="U55" i="162"/>
  <c r="B58" i="162"/>
  <c r="J58" i="162"/>
  <c r="U58" i="162"/>
  <c r="U59" i="162"/>
  <c r="U60" i="162"/>
  <c r="U61" i="162"/>
  <c r="B62" i="162"/>
  <c r="J62" i="162"/>
  <c r="U62" i="162"/>
  <c r="B63" i="162"/>
  <c r="C63" i="162"/>
  <c r="D63" i="162"/>
  <c r="E63" i="162"/>
  <c r="F63" i="162"/>
  <c r="G63" i="162"/>
  <c r="H63" i="162"/>
  <c r="I63" i="162"/>
  <c r="J63" i="162"/>
  <c r="K63" i="162"/>
  <c r="L63" i="162"/>
  <c r="M63" i="162"/>
  <c r="N63" i="162"/>
  <c r="O63" i="162"/>
  <c r="P63" i="162"/>
  <c r="Q63" i="162"/>
  <c r="R63" i="162"/>
  <c r="S63" i="162"/>
  <c r="T63" i="162"/>
  <c r="U63" i="162"/>
  <c r="U64" i="162"/>
  <c r="B65" i="162"/>
  <c r="C65" i="162"/>
  <c r="D65" i="162"/>
  <c r="E65" i="162"/>
  <c r="F65" i="162"/>
  <c r="G65" i="162"/>
  <c r="H65" i="162"/>
  <c r="I65" i="162"/>
  <c r="J65" i="162"/>
  <c r="K65" i="162"/>
  <c r="L65" i="162"/>
  <c r="M65" i="162"/>
  <c r="N65" i="162"/>
  <c r="O65" i="162"/>
  <c r="P65" i="162"/>
  <c r="Q65" i="162"/>
  <c r="R65" i="162"/>
  <c r="S65" i="162"/>
  <c r="T65" i="162"/>
  <c r="U65" i="162" s="1"/>
  <c r="U68" i="162"/>
  <c r="B69" i="162"/>
  <c r="D69" i="162"/>
  <c r="H69" i="162"/>
  <c r="J69" i="162"/>
  <c r="L69" i="162"/>
  <c r="N69" i="162"/>
  <c r="U69" i="162"/>
  <c r="U70" i="162"/>
  <c r="U71" i="162"/>
  <c r="B72" i="162"/>
  <c r="H72" i="162"/>
  <c r="J72" i="162"/>
  <c r="U72" i="162"/>
  <c r="H73" i="162"/>
  <c r="J73" i="162"/>
  <c r="U73" i="162"/>
  <c r="U74" i="162"/>
  <c r="U75" i="162"/>
  <c r="B76" i="162"/>
  <c r="J76" i="162"/>
  <c r="U76" i="162"/>
  <c r="B77" i="162"/>
  <c r="J77" i="162"/>
  <c r="U77" i="162"/>
  <c r="U78" i="162"/>
  <c r="B79" i="162"/>
  <c r="C79" i="162"/>
  <c r="D79" i="162"/>
  <c r="E79" i="162"/>
  <c r="F79" i="162"/>
  <c r="G79" i="162"/>
  <c r="H79" i="162"/>
  <c r="I79" i="162"/>
  <c r="J79" i="162"/>
  <c r="K79" i="162"/>
  <c r="L79" i="162"/>
  <c r="M79" i="162"/>
  <c r="N79" i="162"/>
  <c r="O79" i="162"/>
  <c r="P79" i="162"/>
  <c r="Q79" i="162"/>
  <c r="R79" i="162"/>
  <c r="S79" i="162"/>
  <c r="T79" i="162"/>
  <c r="U79" i="162"/>
  <c r="U80" i="162"/>
  <c r="B81" i="162"/>
  <c r="J81" i="162"/>
  <c r="U81" i="162"/>
  <c r="B82" i="162"/>
  <c r="J82" i="162"/>
  <c r="U82" i="162"/>
  <c r="B83" i="162"/>
  <c r="J83" i="162"/>
  <c r="U83" i="162"/>
  <c r="B84" i="162"/>
  <c r="C84" i="162"/>
  <c r="D84" i="162"/>
  <c r="E84" i="162"/>
  <c r="F84" i="162"/>
  <c r="G84" i="162"/>
  <c r="H84" i="162"/>
  <c r="I84" i="162"/>
  <c r="J84" i="162"/>
  <c r="K84" i="162"/>
  <c r="L84" i="162"/>
  <c r="M84" i="162"/>
  <c r="N84" i="162"/>
  <c r="O84" i="162"/>
  <c r="P84" i="162"/>
  <c r="Q84" i="162"/>
  <c r="R84" i="162"/>
  <c r="S84" i="162"/>
  <c r="T84" i="162"/>
  <c r="U84" i="162"/>
  <c r="U85" i="162"/>
  <c r="B86" i="162"/>
  <c r="J86" i="162"/>
  <c r="U86" i="162"/>
  <c r="B87" i="162"/>
  <c r="C87" i="162"/>
  <c r="D87" i="162"/>
  <c r="E87" i="162"/>
  <c r="F87" i="162"/>
  <c r="G87" i="162"/>
  <c r="H87" i="162"/>
  <c r="I87" i="162"/>
  <c r="J87" i="162"/>
  <c r="K87" i="162"/>
  <c r="L87" i="162"/>
  <c r="M87" i="162"/>
  <c r="N87" i="162"/>
  <c r="O87" i="162"/>
  <c r="P87" i="162"/>
  <c r="Q87" i="162"/>
  <c r="R87" i="162"/>
  <c r="S87" i="162"/>
  <c r="T87" i="162"/>
  <c r="U87" i="162"/>
  <c r="U88" i="162"/>
  <c r="U89" i="162"/>
  <c r="B90" i="162"/>
  <c r="J90" i="162"/>
  <c r="U90" i="162"/>
  <c r="B91" i="162"/>
  <c r="C91" i="162"/>
  <c r="D91" i="162"/>
  <c r="E91" i="162"/>
  <c r="F91" i="162"/>
  <c r="G91" i="162"/>
  <c r="H91" i="162"/>
  <c r="I91" i="162"/>
  <c r="J91" i="162"/>
  <c r="K91" i="162"/>
  <c r="L91" i="162"/>
  <c r="M91" i="162"/>
  <c r="N91" i="162"/>
  <c r="O91" i="162"/>
  <c r="P91" i="162"/>
  <c r="Q91" i="162"/>
  <c r="R91" i="162"/>
  <c r="S91" i="162"/>
  <c r="T91" i="162"/>
  <c r="U91" i="162"/>
  <c r="U93" i="162"/>
  <c r="B94" i="162"/>
  <c r="C94" i="162"/>
  <c r="D94" i="162"/>
  <c r="E94" i="162"/>
  <c r="F94" i="162"/>
  <c r="G94" i="162"/>
  <c r="H94" i="162"/>
  <c r="I94" i="162"/>
  <c r="J94" i="162"/>
  <c r="K94" i="162"/>
  <c r="L94" i="162"/>
  <c r="M94" i="162"/>
  <c r="N94" i="162"/>
  <c r="O94" i="162"/>
  <c r="P94" i="162"/>
  <c r="Q94" i="162"/>
  <c r="R94" i="162"/>
  <c r="S94" i="162"/>
  <c r="C4" i="168"/>
  <c r="D4" i="168" s="1"/>
  <c r="E4" i="168" s="1"/>
  <c r="F4" i="168" s="1"/>
  <c r="G4" i="168" s="1"/>
  <c r="H4" i="168" s="1"/>
  <c r="I4" i="168" s="1"/>
  <c r="J4" i="168" s="1"/>
  <c r="K4" i="168" s="1"/>
  <c r="L4" i="168" s="1"/>
  <c r="M4" i="168" s="1"/>
  <c r="N4" i="168" s="1"/>
  <c r="O4" i="168" s="1"/>
  <c r="P4" i="168" s="1"/>
  <c r="Q4" i="168" s="1"/>
  <c r="R4" i="168" s="1"/>
  <c r="S4" i="168" s="1"/>
  <c r="T4" i="168" s="1"/>
  <c r="U4" i="168" s="1"/>
  <c r="V4" i="168" s="1"/>
  <c r="W4" i="168" s="1"/>
  <c r="X4" i="168" s="1"/>
  <c r="Y4" i="168" s="1"/>
  <c r="Z4" i="168" s="1"/>
  <c r="AA4" i="168" s="1"/>
  <c r="AB4" i="168" s="1"/>
  <c r="AC4" i="168" s="1"/>
  <c r="AD4" i="168" s="1"/>
  <c r="AE4" i="168" s="1"/>
  <c r="AF4" i="168" s="1"/>
  <c r="AG4" i="168" s="1"/>
  <c r="AH4" i="168" s="1"/>
  <c r="AI4" i="168" s="1"/>
  <c r="AJ4" i="168" s="1"/>
  <c r="AK4" i="168" s="1"/>
  <c r="AL4" i="168" s="1"/>
  <c r="AM4" i="168" s="1"/>
  <c r="AN4" i="168" s="1"/>
  <c r="AO4" i="168" s="1"/>
  <c r="AP4" i="168" s="1"/>
  <c r="AQ4" i="168" s="1"/>
  <c r="AR4" i="168" s="1"/>
  <c r="AS4" i="168" s="1"/>
  <c r="AT4" i="168" s="1"/>
  <c r="AU4" i="168" s="1"/>
  <c r="AV4" i="168" s="1"/>
  <c r="AW4" i="168" s="1"/>
  <c r="AX4" i="168" s="1"/>
  <c r="AY4" i="168" s="1"/>
  <c r="AZ4" i="168" s="1"/>
  <c r="BA4" i="168" s="1"/>
  <c r="BB4" i="168" s="1"/>
  <c r="BC4" i="168" s="1"/>
  <c r="BD4" i="168" s="1"/>
  <c r="BE4" i="168" s="1"/>
  <c r="BF4" i="168" s="1"/>
  <c r="BG4" i="168" s="1"/>
  <c r="BH4" i="168" s="1"/>
  <c r="BI4" i="168" s="1"/>
  <c r="BJ4" i="168" s="1"/>
  <c r="BK4" i="168" s="1"/>
  <c r="BL4" i="168" s="1"/>
  <c r="BM4" i="168" s="1"/>
  <c r="BN4" i="168" s="1"/>
  <c r="BO4" i="168" s="1"/>
  <c r="BP4" i="168" s="1"/>
  <c r="BQ4" i="168" s="1"/>
  <c r="BR4" i="168" s="1"/>
  <c r="BS4" i="168" s="1"/>
  <c r="BT4" i="168" s="1"/>
  <c r="BU4" i="168" s="1"/>
  <c r="BV4" i="168" s="1"/>
  <c r="BW4" i="168" s="1"/>
  <c r="BX4" i="168" s="1"/>
  <c r="BY4" i="168" s="1"/>
  <c r="BZ4" i="168" s="1"/>
  <c r="CA4" i="168" s="1"/>
  <c r="CB4" i="168" s="1"/>
  <c r="CC4" i="168" s="1"/>
  <c r="CD4" i="168" s="1"/>
  <c r="CE4" i="168" s="1"/>
  <c r="CL8" i="168"/>
  <c r="CL10" i="168"/>
  <c r="G9" i="97" s="1"/>
  <c r="J9" i="97" s="1"/>
  <c r="C9" i="2" s="1"/>
  <c r="CL12" i="168"/>
  <c r="G11" i="97" s="1"/>
  <c r="J11" i="97" s="1"/>
  <c r="C11" i="2" s="1"/>
  <c r="B14" i="168"/>
  <c r="Q14" i="168"/>
  <c r="Q26" i="168" s="1"/>
  <c r="Q39" i="168" s="1"/>
  <c r="CL16" i="168"/>
  <c r="G15" i="97" s="1"/>
  <c r="J15" i="97" s="1"/>
  <c r="C15" i="2" s="1"/>
  <c r="CL18" i="168"/>
  <c r="G17" i="97" s="1"/>
  <c r="J17" i="97" s="1"/>
  <c r="C17" i="2" s="1"/>
  <c r="Y20" i="168"/>
  <c r="CH20" i="168" s="1"/>
  <c r="CL20" i="168" s="1"/>
  <c r="G19" i="97" s="1"/>
  <c r="M24" i="168"/>
  <c r="M26" i="168" s="1"/>
  <c r="M39" i="168" s="1"/>
  <c r="P24" i="168"/>
  <c r="P26" i="168" s="1"/>
  <c r="X24" i="168"/>
  <c r="X26" i="168" s="1"/>
  <c r="X39" i="168" s="1"/>
  <c r="AA24" i="168"/>
  <c r="AX24" i="168"/>
  <c r="AX26" i="168" s="1"/>
  <c r="AX39" i="168" s="1"/>
  <c r="C26" i="168"/>
  <c r="D26" i="168"/>
  <c r="E26" i="168"/>
  <c r="E39" i="168" s="1"/>
  <c r="F26" i="168"/>
  <c r="F39" i="168" s="1"/>
  <c r="G26" i="168"/>
  <c r="G39" i="168" s="1"/>
  <c r="H26" i="168"/>
  <c r="H39" i="168" s="1"/>
  <c r="I26" i="168"/>
  <c r="J26" i="168"/>
  <c r="J39" i="168" s="1"/>
  <c r="K26" i="168"/>
  <c r="K39" i="168" s="1"/>
  <c r="L26" i="168"/>
  <c r="L39" i="168" s="1"/>
  <c r="N26" i="168"/>
  <c r="N39" i="168" s="1"/>
  <c r="O26" i="168"/>
  <c r="O39" i="168" s="1"/>
  <c r="R26" i="168"/>
  <c r="R39" i="168" s="1"/>
  <c r="S26" i="168"/>
  <c r="S39" i="168" s="1"/>
  <c r="T26" i="168"/>
  <c r="T39" i="168" s="1"/>
  <c r="U26" i="168"/>
  <c r="U39" i="168" s="1"/>
  <c r="V26" i="168"/>
  <c r="V39" i="168" s="1"/>
  <c r="W26" i="168"/>
  <c r="W39" i="168" s="1"/>
  <c r="Z26" i="168"/>
  <c r="Z39" i="168" s="1"/>
  <c r="AA26" i="168"/>
  <c r="AA39" i="168" s="1"/>
  <c r="AB26" i="168"/>
  <c r="AB39" i="168" s="1"/>
  <c r="AC26" i="168"/>
  <c r="AC39" i="168" s="1"/>
  <c r="AD26" i="168"/>
  <c r="AD39" i="168" s="1"/>
  <c r="AE26" i="168"/>
  <c r="AE39" i="168" s="1"/>
  <c r="AF26" i="168"/>
  <c r="AF39" i="168" s="1"/>
  <c r="AG26" i="168"/>
  <c r="AG39" i="168" s="1"/>
  <c r="AH26" i="168"/>
  <c r="AH39" i="168" s="1"/>
  <c r="AI26" i="168"/>
  <c r="AI39" i="168" s="1"/>
  <c r="AJ26" i="168"/>
  <c r="AJ39" i="168" s="1"/>
  <c r="AK26" i="168"/>
  <c r="AK39" i="168" s="1"/>
  <c r="AL26" i="168"/>
  <c r="AL39" i="168" s="1"/>
  <c r="AM26" i="168"/>
  <c r="AM39" i="168" s="1"/>
  <c r="AN26" i="168"/>
  <c r="AN39" i="168" s="1"/>
  <c r="AO26" i="168"/>
  <c r="AO39" i="168" s="1"/>
  <c r="AP26" i="168"/>
  <c r="AP39" i="168" s="1"/>
  <c r="AQ26" i="168"/>
  <c r="AQ39" i="168" s="1"/>
  <c r="AR26" i="168"/>
  <c r="AR39" i="168" s="1"/>
  <c r="AS26" i="168"/>
  <c r="AS39" i="168" s="1"/>
  <c r="AT26" i="168"/>
  <c r="AT39" i="168" s="1"/>
  <c r="AU26" i="168"/>
  <c r="AU39" i="168" s="1"/>
  <c r="AV26" i="168"/>
  <c r="AV39" i="168" s="1"/>
  <c r="AW26" i="168"/>
  <c r="AW39" i="168" s="1"/>
  <c r="AY26" i="168"/>
  <c r="AY39" i="168" s="1"/>
  <c r="AZ26" i="168"/>
  <c r="AZ39" i="168" s="1"/>
  <c r="BA26" i="168"/>
  <c r="BA39" i="168" s="1"/>
  <c r="BB26" i="168"/>
  <c r="BB39" i="168" s="1"/>
  <c r="BC26" i="168"/>
  <c r="BC39" i="168" s="1"/>
  <c r="BD26" i="168"/>
  <c r="BD39" i="168" s="1"/>
  <c r="BE26" i="168"/>
  <c r="BE39" i="168" s="1"/>
  <c r="BF26" i="168"/>
  <c r="BF39" i="168" s="1"/>
  <c r="BG26" i="168"/>
  <c r="BG39" i="168" s="1"/>
  <c r="BH26" i="168"/>
  <c r="BH39" i="168" s="1"/>
  <c r="BI26" i="168"/>
  <c r="BI39" i="168" s="1"/>
  <c r="BJ26" i="168"/>
  <c r="BJ39" i="168" s="1"/>
  <c r="BK26" i="168"/>
  <c r="BK39" i="168" s="1"/>
  <c r="BL26" i="168"/>
  <c r="BL39" i="168" s="1"/>
  <c r="BM26" i="168"/>
  <c r="BM39" i="168" s="1"/>
  <c r="BN26" i="168"/>
  <c r="BN39" i="168" s="1"/>
  <c r="BQ26" i="168"/>
  <c r="BQ39" i="168" s="1"/>
  <c r="C31" i="168"/>
  <c r="D31" i="168"/>
  <c r="P31" i="168"/>
  <c r="C33" i="168"/>
  <c r="D33" i="168"/>
  <c r="I39" i="168"/>
  <c r="CJ39" i="168"/>
  <c r="C3" i="149"/>
  <c r="I7" i="149"/>
  <c r="M7" i="149" s="1"/>
  <c r="I9" i="149"/>
  <c r="M9" i="149" s="1"/>
  <c r="I11" i="149"/>
  <c r="M11" i="149" s="1"/>
  <c r="I13" i="149"/>
  <c r="J13" i="149"/>
  <c r="K13" i="149"/>
  <c r="L13" i="149"/>
  <c r="I15" i="149"/>
  <c r="M15" i="149" s="1"/>
  <c r="I17" i="149"/>
  <c r="M17" i="149" s="1"/>
  <c r="I19" i="149"/>
  <c r="J19" i="149"/>
  <c r="K19" i="149"/>
  <c r="L19" i="149"/>
  <c r="L21" i="149"/>
  <c r="B21" i="149"/>
  <c r="C21" i="149"/>
  <c r="D21" i="149"/>
  <c r="E21" i="149"/>
  <c r="H21" i="149"/>
  <c r="J21" i="149"/>
  <c r="K21" i="149"/>
  <c r="C3" i="138"/>
  <c r="D3" i="138"/>
  <c r="D7" i="138"/>
  <c r="D9" i="138"/>
  <c r="D11" i="138"/>
  <c r="D13" i="138"/>
  <c r="D15" i="138"/>
  <c r="D17" i="138"/>
  <c r="D19" i="138"/>
  <c r="B21" i="138"/>
  <c r="C21" i="138"/>
  <c r="C3" i="155"/>
  <c r="D3" i="155" s="1"/>
  <c r="H9" i="30"/>
  <c r="H11" i="30"/>
  <c r="H13" i="30"/>
  <c r="H15" i="30"/>
  <c r="H17" i="30"/>
  <c r="H19" i="30"/>
  <c r="H21" i="30"/>
  <c r="B21" i="155"/>
  <c r="C21" i="155"/>
  <c r="D21" i="155"/>
  <c r="B21" i="154"/>
  <c r="F9" i="30"/>
  <c r="F13" i="30"/>
  <c r="F15" i="30"/>
  <c r="F17" i="30"/>
  <c r="F19" i="30"/>
  <c r="F21" i="30"/>
  <c r="C4" i="140"/>
  <c r="G4" i="140" s="1"/>
  <c r="H4" i="140" s="1"/>
  <c r="I4" i="140" s="1"/>
  <c r="J4" i="140" s="1"/>
  <c r="K4" i="140" s="1"/>
  <c r="L4" i="140" s="1"/>
  <c r="M4" i="140" s="1"/>
  <c r="N4" i="140" s="1"/>
  <c r="O4" i="140" s="1"/>
  <c r="P4" i="140" s="1"/>
  <c r="Q4" i="140" s="1"/>
  <c r="R4" i="140" s="1"/>
  <c r="S4" i="140" s="1"/>
  <c r="T4" i="140" s="1"/>
  <c r="U4" i="140" s="1"/>
  <c r="V4" i="140" s="1"/>
  <c r="W4" i="140" s="1"/>
  <c r="X4" i="140" s="1"/>
  <c r="Y4" i="140" s="1"/>
  <c r="Z4" i="140" s="1"/>
  <c r="AA4" i="140" s="1"/>
  <c r="AB4" i="140" s="1"/>
  <c r="AC4" i="140" s="1"/>
  <c r="AD4" i="140" s="1"/>
  <c r="AE4" i="140" s="1"/>
  <c r="AF4" i="140" s="1"/>
  <c r="AG4" i="140" s="1"/>
  <c r="AH4" i="140" s="1"/>
  <c r="D8" i="140"/>
  <c r="AN8" i="140" s="1"/>
  <c r="F8" i="140"/>
  <c r="G8" i="140"/>
  <c r="D9" i="30"/>
  <c r="C10" i="140"/>
  <c r="D10" i="140"/>
  <c r="E10" i="140"/>
  <c r="E22" i="140" s="1"/>
  <c r="F10" i="140"/>
  <c r="F22" i="140" s="1"/>
  <c r="M10" i="140"/>
  <c r="I12" i="140"/>
  <c r="AA12" i="140"/>
  <c r="AA22" i="140" s="1"/>
  <c r="J14" i="140"/>
  <c r="P14" i="140"/>
  <c r="T14" i="140"/>
  <c r="W14" i="140"/>
  <c r="E20" i="140"/>
  <c r="G20" i="140"/>
  <c r="J20" i="140"/>
  <c r="J22" i="140" s="1"/>
  <c r="P20" i="140"/>
  <c r="P22" i="140" s="1"/>
  <c r="T20" i="140"/>
  <c r="B22" i="140"/>
  <c r="C22" i="140"/>
  <c r="D22" i="140"/>
  <c r="G22" i="140"/>
  <c r="H22" i="140"/>
  <c r="K22" i="140"/>
  <c r="L22" i="140"/>
  <c r="M22" i="140"/>
  <c r="N22" i="140"/>
  <c r="O22" i="140"/>
  <c r="Q22" i="140"/>
  <c r="R22" i="140"/>
  <c r="S22" i="140"/>
  <c r="T22" i="140"/>
  <c r="U22" i="140"/>
  <c r="V22" i="140"/>
  <c r="W22" i="140"/>
  <c r="X22" i="140"/>
  <c r="Y22" i="140"/>
  <c r="Z22" i="140"/>
  <c r="AB22" i="140"/>
  <c r="AC22" i="140"/>
  <c r="AD22" i="140"/>
  <c r="AE22" i="140"/>
  <c r="AG22" i="140"/>
  <c r="D7" i="164"/>
  <c r="D7" i="2" s="1"/>
  <c r="D9" i="164"/>
  <c r="D9" i="2" s="1"/>
  <c r="D11" i="164"/>
  <c r="D11" i="2" s="1"/>
  <c r="D13" i="164"/>
  <c r="D13" i="2" s="1"/>
  <c r="D15" i="164"/>
  <c r="D15" i="2" s="1"/>
  <c r="D17" i="164"/>
  <c r="D17" i="2" s="1"/>
  <c r="D19" i="164"/>
  <c r="D19" i="2" s="1"/>
  <c r="B21" i="164"/>
  <c r="C21" i="164"/>
  <c r="B21" i="97"/>
  <c r="H21" i="97"/>
  <c r="H24" i="97" s="1"/>
  <c r="C3" i="2"/>
  <c r="D3" i="2"/>
  <c r="E3" i="2"/>
  <c r="B21" i="2"/>
  <c r="C5" i="30"/>
  <c r="D5" i="30"/>
  <c r="E5" i="30"/>
  <c r="F5" i="30"/>
  <c r="G5" i="30"/>
  <c r="H5" i="30"/>
  <c r="I5" i="30"/>
  <c r="D17" i="30"/>
  <c r="G17" i="30"/>
  <c r="G19" i="30"/>
  <c r="CF4" i="168" l="1"/>
  <c r="CG4" i="168" s="1"/>
  <c r="AN12" i="140"/>
  <c r="D13" i="30" s="1"/>
  <c r="AN20" i="140"/>
  <c r="D21" i="30" s="1"/>
  <c r="I22" i="140"/>
  <c r="AN10" i="140"/>
  <c r="AN14" i="140"/>
  <c r="D15" i="30" s="1"/>
  <c r="D21" i="138"/>
  <c r="D39" i="168"/>
  <c r="CH33" i="168"/>
  <c r="J19" i="97"/>
  <c r="C19" i="2" s="1"/>
  <c r="E19" i="2" s="1"/>
  <c r="B21" i="30" s="1"/>
  <c r="P39" i="168"/>
  <c r="G7" i="97"/>
  <c r="J7" i="97" s="1"/>
  <c r="C7" i="2" s="1"/>
  <c r="E7" i="2" s="1"/>
  <c r="E21" i="154"/>
  <c r="CH14" i="168"/>
  <c r="CH24" i="168"/>
  <c r="CH31" i="168"/>
  <c r="C39" i="168"/>
  <c r="B26" i="168"/>
  <c r="B39" i="168" s="1"/>
  <c r="Y26" i="168"/>
  <c r="Y39" i="168" s="1"/>
  <c r="T94" i="162"/>
  <c r="U94" i="162" s="1"/>
  <c r="E9" i="2"/>
  <c r="B11" i="30" s="1"/>
  <c r="E11" i="2"/>
  <c r="B13" i="30" s="1"/>
  <c r="E17" i="2"/>
  <c r="B19" i="30" s="1"/>
  <c r="E15" i="2"/>
  <c r="B17" i="30" s="1"/>
  <c r="M19" i="149"/>
  <c r="M13" i="149"/>
  <c r="M21" i="149" s="1"/>
  <c r="I21" i="149"/>
  <c r="F21" i="155"/>
  <c r="H23" i="30"/>
  <c r="G23" i="30"/>
  <c r="B23" i="153"/>
  <c r="F11" i="30"/>
  <c r="F23" i="30" s="1"/>
  <c r="D21" i="2"/>
  <c r="D21" i="164"/>
  <c r="CH39" i="168" l="1"/>
  <c r="AN22" i="140"/>
  <c r="D11" i="30"/>
  <c r="D23" i="30" s="1"/>
  <c r="E19" i="30"/>
  <c r="I19" i="30" s="1"/>
  <c r="E13" i="30"/>
  <c r="I13" i="30" s="1"/>
  <c r="E17" i="30"/>
  <c r="I17" i="30" s="1"/>
  <c r="E21" i="30"/>
  <c r="I21" i="30" s="1"/>
  <c r="CH26" i="168"/>
  <c r="CL14" i="168"/>
  <c r="CI12" i="168"/>
  <c r="B9" i="30"/>
  <c r="G13" i="97" l="1"/>
  <c r="G21" i="97" s="1"/>
  <c r="CL39" i="168"/>
  <c r="E9" i="30"/>
  <c r="I9" i="30" s="1"/>
  <c r="J13" i="97" l="1"/>
  <c r="C23" i="30"/>
  <c r="E11" i="30"/>
  <c r="I11" i="30" s="1"/>
  <c r="C13" i="2" l="1"/>
  <c r="J21" i="97"/>
  <c r="E13" i="2" l="1"/>
  <c r="C21" i="2"/>
  <c r="B15" i="30" l="1"/>
  <c r="E21" i="2"/>
  <c r="E15" i="30" l="1"/>
  <c r="B23" i="30"/>
  <c r="I15" i="30" l="1"/>
  <c r="I23" i="30" s="1"/>
  <c r="E23" i="30"/>
</calcChain>
</file>

<file path=xl/comments1.xml><?xml version="1.0" encoding="utf-8"?>
<comments xmlns="http://schemas.openxmlformats.org/spreadsheetml/2006/main">
  <authors>
    <author>Broughton, Julie (DHSS - Finance)</author>
    <author>Broughton, Julie (HSS - Finance)</author>
    <author>Meredith, Elen (DHSS - Finance)</author>
  </authors>
  <commentList>
    <comment ref="B14" authorId="0" shapeId="0">
      <text>
        <r>
          <rPr>
            <b/>
            <sz val="12"/>
            <color indexed="81"/>
            <rFont val="Tahoma"/>
            <family val="2"/>
          </rPr>
          <t>Broughton, Julie (DHSS - Finance):</t>
        </r>
        <r>
          <rPr>
            <sz val="12"/>
            <color indexed="81"/>
            <rFont val="Tahoma"/>
            <family val="2"/>
          </rPr>
          <t xml:space="preserve">
Includes additional Audit input agreed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J14" authorId="1" shapeId="0">
      <text>
        <r>
          <rPr>
            <b/>
            <sz val="12"/>
            <color indexed="81"/>
            <rFont val="Tahoma"/>
            <family val="2"/>
          </rPr>
          <t>Broughton, Julie (HSS - Finance):</t>
        </r>
        <r>
          <rPr>
            <sz val="12"/>
            <color indexed="81"/>
            <rFont val="Tahoma"/>
            <family val="2"/>
          </rPr>
          <t xml:space="preserve">
Includes Bridgend adjustment £1.818m</t>
        </r>
      </text>
    </comment>
    <comment ref="Y20" authorId="2" shapeId="0">
      <text>
        <r>
          <rPr>
            <b/>
            <sz val="12"/>
            <color indexed="81"/>
            <rFont val="Tahoma"/>
            <family val="2"/>
          </rPr>
          <t>Meredith, Elen (DHSS - Finance):</t>
        </r>
        <r>
          <rPr>
            <sz val="12"/>
            <color indexed="81"/>
            <rFont val="Tahoma"/>
            <family val="2"/>
          </rPr>
          <t xml:space="preserve">
2017-18 £22,133 Band 3 to ABM
£44,266 2x band 3 Estates Buyers to NWSSP
£37,775 Omnicell Band 6 to NWSSP
£82,041 IOH posts (1xBand6. 2xBand 3) to NWSSP</t>
        </r>
      </text>
    </comment>
    <comment ref="CJ20" authorId="1" shapeId="0">
      <text>
        <r>
          <rPr>
            <b/>
            <sz val="12"/>
            <color indexed="81"/>
            <rFont val="Tahoma"/>
            <family val="2"/>
          </rPr>
          <t>Broughton, Julie (HSS - Finance):</t>
        </r>
        <r>
          <rPr>
            <sz val="12"/>
            <color indexed="81"/>
            <rFont val="Tahoma"/>
            <family val="2"/>
          </rPr>
          <t xml:space="preserve">
Includes Bridgend adjustment £-1.818m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0" shapeId="0">
      <text>
        <r>
          <rPr>
            <b/>
            <sz val="12"/>
            <color indexed="81"/>
            <rFont val="Tahoma"/>
            <family val="2"/>
          </rPr>
          <t>Broughton, Julie (DHSS - Finance):</t>
        </r>
        <r>
          <rPr>
            <sz val="12"/>
            <color indexed="81"/>
            <rFont val="Tahoma"/>
            <family val="2"/>
          </rPr>
          <t xml:space="preserve">
Includes £0.040m for NWSSP ESR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4" authorId="2" shapeId="0">
      <text>
        <r>
          <rPr>
            <b/>
            <sz val="12"/>
            <color indexed="81"/>
            <rFont val="Tahoma"/>
            <family val="2"/>
          </rPr>
          <t>Meredith, Elen (DHSS - Finance):</t>
        </r>
        <r>
          <rPr>
            <sz val="12"/>
            <color indexed="81"/>
            <rFont val="Tahoma"/>
            <family val="2"/>
          </rPr>
          <t xml:space="preserve">
17-18 - £40k reduction to NWIS for Vending Machines and Telecoms.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Broughton, Julie (HSS - Finance)</author>
    <author>Hughes, Andrea (HSS - Finance)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Bridgend Transfer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Bridgend Transfer</t>
        </r>
      </text>
    </comment>
    <comment ref="T64" authorId="1" shapeId="0">
      <text>
        <r>
          <rPr>
            <b/>
            <sz val="9"/>
            <color indexed="81"/>
            <rFont val="Tahoma"/>
            <charset val="1"/>
          </rPr>
          <t>Hughes, Andrea (HSS - Finance):</t>
        </r>
        <r>
          <rPr>
            <sz val="9"/>
            <color indexed="81"/>
            <rFont val="Tahoma"/>
            <charset val="1"/>
          </rPr>
          <t xml:space="preserve">
Reduced from £0.600m to align to the HEIW Allocation Paper issued in 21/22
</t>
        </r>
      </text>
    </comment>
  </commentList>
</comments>
</file>

<file path=xl/comments3.xml><?xml version="1.0" encoding="utf-8"?>
<comments xmlns="http://schemas.openxmlformats.org/spreadsheetml/2006/main">
  <authors>
    <author>Broughton, Julie (HSS - Finance)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19-20 allocation letter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in 19-20 allocation letter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in 19-20 allocation letter</t>
        </r>
      </text>
    </comment>
  </commentList>
</comments>
</file>

<file path=xl/sharedStrings.xml><?xml version="1.0" encoding="utf-8"?>
<sst xmlns="http://schemas.openxmlformats.org/spreadsheetml/2006/main" count="697" uniqueCount="323">
  <si>
    <t>Total</t>
  </si>
  <si>
    <t>Table A1</t>
  </si>
  <si>
    <t>Table A2</t>
  </si>
  <si>
    <t>Table B1</t>
  </si>
  <si>
    <t>Table B2</t>
  </si>
  <si>
    <t>Table C</t>
  </si>
  <si>
    <t xml:space="preserve">Contents </t>
  </si>
  <si>
    <t xml:space="preserve"> </t>
  </si>
  <si>
    <t>Dental SIFT</t>
  </si>
  <si>
    <t>Table E</t>
  </si>
  <si>
    <t>Revenue Allocation for Community Pharmacy Contract</t>
  </si>
  <si>
    <t>Revenue Allocation for Dental Contract</t>
  </si>
  <si>
    <t>Table F</t>
  </si>
  <si>
    <t>Total Adjustments (Carried forward to Table A1, Column 2)</t>
  </si>
  <si>
    <t xml:space="preserve">Revenue Allocation for GMS Contract </t>
  </si>
  <si>
    <t>£m</t>
  </si>
  <si>
    <t>Table 1</t>
  </si>
  <si>
    <t>Table 2</t>
  </si>
  <si>
    <t>Substance Misuse Funding</t>
  </si>
  <si>
    <t xml:space="preserve">Radiotherapy </t>
  </si>
  <si>
    <t>Aneurin Bevan HB</t>
  </si>
  <si>
    <t>Cardiff and Vale University HB</t>
  </si>
  <si>
    <t>Powys HB</t>
  </si>
  <si>
    <t>Hywel Dda HB</t>
  </si>
  <si>
    <t>Table B2 - HCHS Directed Expenditure Analysis</t>
  </si>
  <si>
    <t>Total (carried forward to Summary Table)</t>
  </si>
  <si>
    <t xml:space="preserve">HCHS Ring-Fenced Revenue Allocations </t>
  </si>
  <si>
    <t>Directed Expenditure Allocations</t>
  </si>
  <si>
    <t>Total Mental Health Ring-Fenced Allocation</t>
  </si>
  <si>
    <t>Betsi Cadwaladr University HB</t>
  </si>
  <si>
    <t>Primary Care Prescribing</t>
  </si>
  <si>
    <t>GMS 
(QOF and ES)</t>
  </si>
  <si>
    <t>Other Primary Care</t>
  </si>
  <si>
    <t>Table C: Revenue Allocation for GMS Contract - £ million</t>
  </si>
  <si>
    <t>Table E: Revenue Allocation for Community Pharmacy Contract - £ million</t>
  </si>
  <si>
    <t>Table F: Revenue Allocation for Dental Contract - £ million</t>
  </si>
  <si>
    <t>NWIS</t>
  </si>
  <si>
    <t>Cardiac Network</t>
  </si>
  <si>
    <t>Cancer Network</t>
  </si>
  <si>
    <t>Critical Care Network</t>
  </si>
  <si>
    <t>Baseline Adjustments</t>
  </si>
  <si>
    <t>Contractor Services</t>
  </si>
  <si>
    <t>Primary Care complaints</t>
  </si>
  <si>
    <t>Infrastructure SIFT</t>
  </si>
  <si>
    <t>Audit Services</t>
  </si>
  <si>
    <t>Employment Services</t>
  </si>
  <si>
    <t>Welsh Ambulance Services NHST</t>
  </si>
  <si>
    <t>Velindre NHST</t>
  </si>
  <si>
    <t>Public Health Wales NHST</t>
  </si>
  <si>
    <t>Procurement Services</t>
  </si>
  <si>
    <t xml:space="preserve">WHS </t>
  </si>
  <si>
    <t>Welsh Government</t>
  </si>
  <si>
    <t>Prescribing Services</t>
  </si>
  <si>
    <t>Facilities Services</t>
  </si>
  <si>
    <t>Table 1: Substance Misuse Funding</t>
  </si>
  <si>
    <t>Table 3</t>
  </si>
  <si>
    <t>Shared Services Funding</t>
  </si>
  <si>
    <t>Depreciation</t>
  </si>
  <si>
    <t>Counter Fraud</t>
  </si>
  <si>
    <t>ICS Repatriation to HBs</t>
  </si>
  <si>
    <t>Risk Pool Services</t>
  </si>
  <si>
    <t>Legal and Risk Services</t>
  </si>
  <si>
    <t>Commissioner &gt; 
Provider           v</t>
  </si>
  <si>
    <t>ABMU</t>
  </si>
  <si>
    <t>Aneurin Bevan</t>
  </si>
  <si>
    <t>BCU</t>
  </si>
  <si>
    <t>Cardiff and Vale U</t>
  </si>
  <si>
    <t>Cwm Taf</t>
  </si>
  <si>
    <t>Hywel Dda</t>
  </si>
  <si>
    <t>Powys</t>
  </si>
  <si>
    <t>SIFT</t>
  </si>
  <si>
    <t>Postgrad Dean</t>
  </si>
  <si>
    <t>R&amp;D</t>
  </si>
  <si>
    <t>PHLS</t>
  </si>
  <si>
    <t xml:space="preserve">Other  </t>
  </si>
  <si>
    <t>Non-WHSSC</t>
  </si>
  <si>
    <t>Velindre</t>
  </si>
  <si>
    <t>WAST</t>
  </si>
  <si>
    <t>PHW</t>
  </si>
  <si>
    <t>PHWT Removal of Savings from 2012/13 DV exercise</t>
  </si>
  <si>
    <t>LHB Removal of Savings from 2012/13 DV exercise</t>
  </si>
  <si>
    <t>WHSSC</t>
  </si>
  <si>
    <t>Velindre (Removal of Savings from 2012/13 DV Exercise)</t>
  </si>
  <si>
    <t>WAST (Additional Funding Req'd from 2012/13 DV Exercise)</t>
  </si>
  <si>
    <t>Velindre Removal of Savings from 2012/13 DV exercise</t>
  </si>
  <si>
    <t>Depreciation Funding Adjustment</t>
  </si>
  <si>
    <t>Table 4 - Depreciation Funding Adjustment</t>
  </si>
  <si>
    <t>Table 4</t>
  </si>
  <si>
    <t>Velindre resource mapping adjustment</t>
  </si>
  <si>
    <t>13-14 Baseline adjustments:</t>
  </si>
  <si>
    <t>Short Term Wheelchair loans</t>
  </si>
  <si>
    <t>Blood Disorders funding</t>
  </si>
  <si>
    <t>`</t>
  </si>
  <si>
    <t>14-15 Baseline adjustments:</t>
  </si>
  <si>
    <t>LHB Baseline &amp; Approved Strategic adjustment</t>
  </si>
  <si>
    <t>Velindre Baseline &amp; Approved Strategic adjustment</t>
  </si>
  <si>
    <t>NWIS Baseline &amp; Approved Strategic adjustment</t>
  </si>
  <si>
    <t>NWSSP Baseline &amp; Approved Strategic adjustment</t>
  </si>
  <si>
    <t>WAST Baseline &amp; Approved Strategic adjustment</t>
  </si>
  <si>
    <t>PHW Baseline &amp; Approved Strategic adjustment</t>
  </si>
  <si>
    <t>SIFT, PHLS, R&amp;D and PGMDE Depreciation (exc. Velindre)</t>
  </si>
  <si>
    <t>ESR Savings/  Oracle Team/  WfIS / EST Team transfer</t>
  </si>
  <si>
    <t>Deanery - transfer of 2 posts</t>
  </si>
  <si>
    <t>Removal of Depreciation from revenue allocation</t>
  </si>
  <si>
    <t>.</t>
  </si>
  <si>
    <t>Table A3</t>
  </si>
  <si>
    <t>Recurrent Additional Funding</t>
  </si>
  <si>
    <t>Betsi Cadwaladr University LHB</t>
  </si>
  <si>
    <t>Wales Analytical Prescribing Support Unit</t>
  </si>
  <si>
    <t>Mental Health CALL Helpline</t>
  </si>
  <si>
    <t xml:space="preserve">Hospital, Community and Health Services and Prescribing (HCHSP) - Discretionary Allocation </t>
  </si>
  <si>
    <t>AWMSG</t>
  </si>
  <si>
    <t>WeMeRec</t>
  </si>
  <si>
    <t>Blood Borne Viral treatment centre funding</t>
  </si>
  <si>
    <t>Workforce Education &amp; Development and Finance (1)</t>
  </si>
  <si>
    <t>Value for all</t>
  </si>
  <si>
    <t>National Dietician Procurement role</t>
  </si>
  <si>
    <t>Job Evaluation Unit</t>
  </si>
  <si>
    <t>Repatriation of posts</t>
  </si>
  <si>
    <t>Pay Award (including element from WAST)</t>
  </si>
  <si>
    <t>TUPE of staff member to ABM</t>
  </si>
  <si>
    <t>GP Trainee (NWSSP support costs)</t>
  </si>
  <si>
    <t>TOTAL</t>
  </si>
  <si>
    <t>OVERALL TOTAL</t>
  </si>
  <si>
    <t>NWIS HB  changes</t>
  </si>
  <si>
    <t>Community Health Council funding</t>
  </si>
  <si>
    <t>Low Vision Service Wales (LVSW) - hosting</t>
  </si>
  <si>
    <t>Eye Health Examination Wales (EHEW) - hosting</t>
  </si>
  <si>
    <t>IMTP and Workforce</t>
  </si>
  <si>
    <t>Cluster funding</t>
  </si>
  <si>
    <t>Pathfinders</t>
  </si>
  <si>
    <t>Wet AMD</t>
  </si>
  <si>
    <t>Inverse Care Law</t>
  </si>
  <si>
    <t>Occupational Health for GPs</t>
  </si>
  <si>
    <t>Table 5</t>
  </si>
  <si>
    <t>Primary Care Funding</t>
  </si>
  <si>
    <t>Employers Salary Unit -  Recharges</t>
  </si>
  <si>
    <t>Staff transfer - Royal Glamorgan Hospital</t>
  </si>
  <si>
    <t>Employment Law Services transfer - Block 1</t>
  </si>
  <si>
    <t>Employment Law Services transfer - Block 2</t>
  </si>
  <si>
    <t>Surgical Material Testing Laboratory (SMTL)</t>
  </si>
  <si>
    <t>Primary Medical Care Advisory Team</t>
  </si>
  <si>
    <t>DX Expenses</t>
  </si>
  <si>
    <t>Summary - Revenue</t>
  </si>
  <si>
    <t>(Memorandum table)</t>
  </si>
  <si>
    <t>Total Amount (Already included in discretionary baseline)</t>
  </si>
  <si>
    <t>Brecon Group register</t>
  </si>
  <si>
    <t>Assistive Technology (Staff costs)</t>
  </si>
  <si>
    <t>National Imaging Academy</t>
  </si>
  <si>
    <t>Revised remuneration &amp; time commitment (Chair WHSSC/EASC)</t>
  </si>
  <si>
    <t>111 roll out</t>
  </si>
  <si>
    <t>Pay award Implementation costs</t>
  </si>
  <si>
    <t>National Clinical Assessment Service (NCAS)</t>
  </si>
  <si>
    <t>Hywel Dda - Accounts Payable Management</t>
  </si>
  <si>
    <t>PCS - CHC records service</t>
  </si>
  <si>
    <t>Deputy Head of Procurement</t>
  </si>
  <si>
    <t>Procurement Business Manager</t>
  </si>
  <si>
    <t>Supply Chain Operative</t>
  </si>
  <si>
    <t>Procurement clerk/OH officer</t>
  </si>
  <si>
    <t>Increase band of Head of Procurement</t>
  </si>
  <si>
    <t>Procurement Business Officer, Assistant &amp; Clerk</t>
  </si>
  <si>
    <t>Previous years hidden</t>
  </si>
  <si>
    <t>Table 3 - Shared Services Funding/ top slice</t>
  </si>
  <si>
    <t>Band 3 support GP single employer arrangement</t>
  </si>
  <si>
    <t>Funding to support relocation claims</t>
  </si>
  <si>
    <t>Tier 2 sponsorship arrangements</t>
  </si>
  <si>
    <t xml:space="preserve">Table 2 - Total Mental Health Ring Fenced </t>
  </si>
  <si>
    <t>Additional top slice: paramedic banding (to ring fenced table B1)</t>
  </si>
  <si>
    <t>Programme manager funding</t>
  </si>
  <si>
    <t>Funding for local communication activity in primary care</t>
  </si>
  <si>
    <t>Genomics - Core Funding for AWMGS</t>
  </si>
  <si>
    <t>HEIW SLA</t>
  </si>
  <si>
    <t>WEDS adjustments</t>
  </si>
  <si>
    <t>Student award costs in WEDS budget</t>
  </si>
  <si>
    <t xml:space="preserve">Bridgend </t>
  </si>
  <si>
    <r>
      <t xml:space="preserve">12-13 Allocation </t>
    </r>
    <r>
      <rPr>
        <b/>
        <sz val="10"/>
        <rFont val="Arial"/>
        <family val="2"/>
      </rPr>
      <t>(adj 19/20 Bridgend)</t>
    </r>
  </si>
  <si>
    <r>
      <t xml:space="preserve">13-14 Baseline allocation </t>
    </r>
    <r>
      <rPr>
        <b/>
        <sz val="10"/>
        <rFont val="Arial"/>
        <family val="2"/>
      </rPr>
      <t>(adj 19/20 Bridgend)</t>
    </r>
  </si>
  <si>
    <r>
      <t xml:space="preserve">2015-16 Baseline allocation </t>
    </r>
    <r>
      <rPr>
        <b/>
        <sz val="10"/>
        <rFont val="Arial"/>
        <family val="2"/>
      </rPr>
      <t>(adj 19/20 Bridgend)</t>
    </r>
  </si>
  <si>
    <r>
      <t xml:space="preserve">2016-17 &amp; 2017-18 No Adjustments </t>
    </r>
    <r>
      <rPr>
        <b/>
        <sz val="10"/>
        <rFont val="Arial"/>
        <family val="2"/>
      </rPr>
      <t>(adj 19/20 Bridgend)</t>
    </r>
  </si>
  <si>
    <t>2018-19 Baseline adjustments:</t>
  </si>
  <si>
    <r>
      <t xml:space="preserve">2018-19 Baseline allocation </t>
    </r>
    <r>
      <rPr>
        <b/>
        <sz val="10"/>
        <rFont val="Arial"/>
        <family val="2"/>
      </rPr>
      <t>(adj 19/20 Bridgend)</t>
    </r>
  </si>
  <si>
    <t>2017-18 and 2018-19 No Adjustments</t>
  </si>
  <si>
    <r>
      <t>2018-19 Baseline allocation</t>
    </r>
    <r>
      <rPr>
        <b/>
        <sz val="10"/>
        <rFont val="Arial"/>
        <family val="2"/>
      </rPr>
      <t xml:space="preserve"> (adj 19/20 Bridgend)</t>
    </r>
  </si>
  <si>
    <t>2018-19 Core uplift</t>
  </si>
  <si>
    <t>Agenda for Change funding</t>
  </si>
  <si>
    <t>Cwm Taf Morgannwg HB</t>
  </si>
  <si>
    <t>Swansea Bay HB</t>
  </si>
  <si>
    <t>Swansea Bay  HB</t>
  </si>
  <si>
    <t>Amounts in the table below have been increased (core uplift applied to Table A3)</t>
  </si>
  <si>
    <t>In year change: Organ Donation leaflets</t>
  </si>
  <si>
    <t>In year allocation: DDRB Pay uplift</t>
  </si>
  <si>
    <t>In year change: Technology Enables Learning</t>
  </si>
  <si>
    <t>Transfer of Optometry Service from PHW</t>
  </si>
  <si>
    <t>Clinical Nurse Procurement - Aneurin Bevan</t>
  </si>
  <si>
    <t>NHS Wales Shared Services adjustments (Table 3)</t>
  </si>
  <si>
    <t>Training of Medical Emergency Response Incident Teams (MERIT)</t>
  </si>
  <si>
    <t>National Lymphedema funding</t>
  </si>
  <si>
    <t>Single Employer arrangement Pre Reg Pharmacy and Dental VTs</t>
  </si>
  <si>
    <t>HEIW</t>
  </si>
  <si>
    <t>Table 5: Recurrent Primary Care Development funding (Already in discretionary baseline  - not additional funding)</t>
  </si>
  <si>
    <t>2021-22 Recurrent HCHS and Prescribing Discretionary Allocation</t>
  </si>
  <si>
    <t>2021-22 Substance Misuse Ring-Fenced Funding</t>
  </si>
  <si>
    <t>Velindre NHS Trust Chief Operating Officer Post</t>
  </si>
  <si>
    <t>PH &amp; W Coordinator Posts (WHIG)</t>
  </si>
  <si>
    <t>National Director and Strategic Programme Lead for Primary Care</t>
  </si>
  <si>
    <t>Endometriosis Nursing posts (WHIG)</t>
  </si>
  <si>
    <t>Unit 13 Court Road residual funding of Cwmbran stores transfer</t>
  </si>
  <si>
    <t>Bank/ Medical recruitment transfer CTM</t>
  </si>
  <si>
    <t>IP5 funding</t>
  </si>
  <si>
    <t>IP5 lab PSBA recurrent costs (transfer from PHW)</t>
  </si>
  <si>
    <t xml:space="preserve">Data Analyst </t>
  </si>
  <si>
    <t>Quality &amp; Care</t>
  </si>
  <si>
    <t>Additional top slice: 111 service (to table B2)</t>
  </si>
  <si>
    <t>Single Lead Employer support costs</t>
  </si>
  <si>
    <t>Primary Care - GP Adverts</t>
  </si>
  <si>
    <t>Strategic Pay Modelling</t>
  </si>
  <si>
    <t>Baseline Adjustments
 (Table A2)</t>
  </si>
  <si>
    <t>Additional Recurrent funding (Table A3)</t>
  </si>
  <si>
    <t>Memorandum table: DDRB</t>
  </si>
  <si>
    <t xml:space="preserve">Final  allocation 2021-22 </t>
  </si>
  <si>
    <t>Provisional allocation           2021-22</t>
  </si>
  <si>
    <t>2021-22 Initial
HCHS Ring-Fenced Allocation</t>
  </si>
  <si>
    <t>Total Shared Services Top-Slice 2021-22</t>
  </si>
  <si>
    <t>Summary: Unified Budget Allocations - Total HCHS, Drug Prescribing and Primary Care Contracts Resource Limit 2022-23</t>
  </si>
  <si>
    <t>2022-23 Recurrent HCHS and Prescribing Discretionary Allocation</t>
  </si>
  <si>
    <t>2022-23 HCHS Ring Fenced Allocation</t>
  </si>
  <si>
    <t>2022-23 Directed Expenditure</t>
  </si>
  <si>
    <t>Total 2022-23 HCHS and Prescribing Revenue Allocation</t>
  </si>
  <si>
    <t>2022-23 GMS Contract - Table C</t>
  </si>
  <si>
    <t>2022-23 Community Pharmacy Contract - Table E</t>
  </si>
  <si>
    <t>2022-23 Dental Contract - Table F</t>
  </si>
  <si>
    <t>Total Revenue Resource Limit 2022-23</t>
  </si>
  <si>
    <t>Table  A1: Hospital, Community and Health Services and Prescribing (HCHSP) - Discretionary Allocation for 2022-23- £ million</t>
  </si>
  <si>
    <t>Table A2: HCHSP Allocation 2022-23 Baseline Adjustments - (Column 2, Table A1)</t>
  </si>
  <si>
    <t>Table A3: Additional 2022-23 recurrent funding - (Column 3, Table A1)</t>
  </si>
  <si>
    <t>2022-23 additional contract funding</t>
  </si>
  <si>
    <t>Allocation for 2022-23</t>
  </si>
  <si>
    <t>Provisional allocation for 2022-23</t>
  </si>
  <si>
    <t xml:space="preserve">2022-23 Increase </t>
  </si>
  <si>
    <t>2022-23 Substance Misuse Ring-Fenced Funding</t>
  </si>
  <si>
    <t>2022-23 Final HCHSP Ring Fenced Allocation</t>
  </si>
  <si>
    <t>2022-23 Total Mental Health Ring Fenced Allocation</t>
  </si>
  <si>
    <t>Total Shared Services Funding 2022-23</t>
  </si>
  <si>
    <t>Recurrent Adjustment 2022-23 (Table A2)</t>
  </si>
  <si>
    <t>2022-23 allocation</t>
  </si>
  <si>
    <t>Total 2022-23 Baseline Allocation</t>
  </si>
  <si>
    <r>
      <t>£15.460m</t>
    </r>
    <r>
      <rPr>
        <sz val="12"/>
        <rFont val="Arial"/>
        <family val="2"/>
      </rPr>
      <t xml:space="preserve"> for 22-23</t>
    </r>
    <r>
      <rPr>
        <b/>
        <sz val="12"/>
        <rFont val="Arial"/>
        <family val="2"/>
      </rPr>
      <t xml:space="preserve">, £15.198m </t>
    </r>
    <r>
      <rPr>
        <sz val="12"/>
        <rFont val="Arial"/>
        <family val="2"/>
      </rPr>
      <t xml:space="preserve">for 21-22 </t>
    </r>
    <r>
      <rPr>
        <b/>
        <sz val="12"/>
        <rFont val="Arial"/>
        <family val="2"/>
      </rPr>
      <t xml:space="preserve">(additional £0.262m), </t>
    </r>
    <r>
      <rPr>
        <sz val="12"/>
        <rFont val="Arial"/>
        <family val="2"/>
      </rPr>
      <t>added to Table B2</t>
    </r>
  </si>
  <si>
    <r>
      <t xml:space="preserve">Additional </t>
    </r>
    <r>
      <rPr>
        <b/>
        <sz val="12"/>
        <rFont val="Arial"/>
        <family val="2"/>
      </rPr>
      <t>£0.262m</t>
    </r>
    <r>
      <rPr>
        <sz val="12"/>
        <rFont val="Arial"/>
        <family val="2"/>
      </rPr>
      <t xml:space="preserve"> added from Table A2</t>
    </r>
  </si>
  <si>
    <t>Core uplift 2019-20</t>
  </si>
  <si>
    <t>Core uplift 2020-21</t>
  </si>
  <si>
    <t>Core Uplift 2021-22</t>
  </si>
  <si>
    <t>All Wales Specialist Pharmacist</t>
  </si>
  <si>
    <t>Funding for Planned and Unscheduled Care Sustainability for 2022-23 onwards</t>
  </si>
  <si>
    <r>
      <t xml:space="preserve">£9.465 for 22-23, </t>
    </r>
    <r>
      <rPr>
        <b/>
        <sz val="12"/>
        <rFont val="Arial"/>
        <family val="2"/>
      </rPr>
      <t xml:space="preserve">£7.904m </t>
    </r>
    <r>
      <rPr>
        <sz val="12"/>
        <rFont val="Arial"/>
        <family val="2"/>
      </rPr>
      <t xml:space="preserve">for 21-22 additional </t>
    </r>
    <r>
      <rPr>
        <b/>
        <sz val="12"/>
        <rFont val="Arial"/>
        <family val="2"/>
      </rPr>
      <t>£1.561m</t>
    </r>
    <r>
      <rPr>
        <sz val="12"/>
        <rFont val="Arial"/>
        <family val="2"/>
      </rPr>
      <t>, to be added to Table B1</t>
    </r>
  </si>
  <si>
    <t>21-22 HEIW Baseline Allocation</t>
  </si>
  <si>
    <t>2021-22 Baseline allocation</t>
  </si>
  <si>
    <t>No changes 22-23</t>
  </si>
  <si>
    <t>NWIS became DHCW in 2021-22</t>
  </si>
  <si>
    <t>No changes between 2021-22 and 2022-23</t>
  </si>
  <si>
    <t>changes: Additional SMTP top slice</t>
  </si>
  <si>
    <t>Pay and prices increase 2%</t>
  </si>
  <si>
    <t>Support for Omnicell System</t>
  </si>
  <si>
    <t>Modernisation of Procurement team</t>
  </si>
  <si>
    <t>Additional Band 7 post</t>
  </si>
  <si>
    <t>Estates Maintenance</t>
  </si>
  <si>
    <t>Transfer of all Wales Pharmacist post</t>
  </si>
  <si>
    <t>2021-22 Pay award funding</t>
  </si>
  <si>
    <t>GMPI Operational budget</t>
  </si>
  <si>
    <t>2022-23 Core Uplift</t>
  </si>
  <si>
    <t>Additional Cluster funding added 2021-22</t>
  </si>
  <si>
    <t>AWTTC</t>
  </si>
  <si>
    <t>Local Optometric Adviser Role</t>
  </si>
  <si>
    <t>Funding for Microprocessor Controlled Prosthetic Knees (MPK) for civilians</t>
  </si>
  <si>
    <t>In year change: CALL Helpline</t>
  </si>
  <si>
    <t>In year change: Veterans Funding</t>
  </si>
  <si>
    <t>In year change: Mental Health Crisis Care Funding</t>
  </si>
  <si>
    <t>2 National Clinical Lead posts (optometry)</t>
  </si>
  <si>
    <t>Commercial access agreements for NICE and AWMSG approved medicines</t>
  </si>
  <si>
    <t>NHS Redress running costs</t>
  </si>
  <si>
    <t>CAGE funding</t>
  </si>
  <si>
    <t>DHCW</t>
  </si>
  <si>
    <t>NWSSP baseline SLA movement Velindre to DHCW</t>
  </si>
  <si>
    <t>Increase Employment Law Block Funding</t>
  </si>
  <si>
    <t>Removal of WEDS commissioning funding</t>
  </si>
  <si>
    <t>Cancer Support/ SLAs from Wales Cancer Network</t>
  </si>
  <si>
    <t>Table B1: HCHS Protected and Ring Fenced Revenue Allocations for 2022-23  £-million</t>
  </si>
  <si>
    <t>Learning Disabilities</t>
  </si>
  <si>
    <t>Depreciation (Table 4 Column 1)</t>
  </si>
  <si>
    <t xml:space="preserve">Renal Services </t>
  </si>
  <si>
    <t>Palliative care funding</t>
  </si>
  <si>
    <t>Paramedic banding</t>
  </si>
  <si>
    <t>Clinical Desk enhancements</t>
  </si>
  <si>
    <t>Genomics for Precision Medicine Strategy (inc new Genetic Tests)</t>
  </si>
  <si>
    <t>Critical care funding (including WHSSC funding)</t>
  </si>
  <si>
    <t>Critical care funding (EASC funding)</t>
  </si>
  <si>
    <t>Organisation specific adjustment (non recurrent 3 year arrangement)</t>
  </si>
  <si>
    <t>Treatment fund</t>
  </si>
  <si>
    <t>Total 2022-23 HCHS Ring Fenced Allocation (carried forward to Summary Table)</t>
  </si>
  <si>
    <t>Agenda for Change/DDRB Pay funding</t>
  </si>
  <si>
    <t>In year change: Mental Health Service Improvement Funding</t>
  </si>
  <si>
    <t>In year change: Specialist CAMHS (sCAMHS)</t>
  </si>
  <si>
    <t>In year allocation: adjustment to Dental innovation Round 1 (Beaufort park)</t>
  </si>
  <si>
    <t>All Wales Specialist Paediatric Lymphedema Nurse</t>
  </si>
  <si>
    <t>DAN 24/7 helpline</t>
  </si>
  <si>
    <t>SLAs from Lymphedema Network</t>
  </si>
  <si>
    <t>Core uplift 2022-23</t>
  </si>
  <si>
    <t>Mental Health Services (Table 2 column 8)</t>
  </si>
  <si>
    <t>Added £1.561m for 22-23, to total £9.465m</t>
  </si>
  <si>
    <t>WIBSS Operational Costs</t>
  </si>
  <si>
    <t xml:space="preserve">                                         </t>
  </si>
  <si>
    <t xml:space="preserve">2022-23 additional funding: support for the development of National Patient Group Directions </t>
  </si>
  <si>
    <t>Value based Recovery</t>
  </si>
  <si>
    <t>Regional Integration Fund (incorporating previously allocated ICF)</t>
  </si>
  <si>
    <t xml:space="preserve"> Provisional allocation 21-22 and 2022-23</t>
  </si>
  <si>
    <t>In year: pay funding</t>
  </si>
  <si>
    <t>Core uplift for 2022-23</t>
  </si>
  <si>
    <t>Total Additional Recurrent funding (Carried forward to Table A1, Column 3)</t>
  </si>
  <si>
    <t>UWIC Dental Contract SLA</t>
  </si>
  <si>
    <t>Swansea Graduate Entry scheme</t>
  </si>
  <si>
    <t xml:space="preserve">Swansea Clinical Medical School </t>
  </si>
  <si>
    <t>Junior doctor rota management funding</t>
  </si>
  <si>
    <t>Dental access funding 22-23</t>
  </si>
  <si>
    <t>DHCW Hosting SLA lost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</si>
</sst>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00;\(#,##0.000\);\-"/>
    <numFmt numFmtId="165" formatCode="#,##0;\(#,##0\);\-"/>
    <numFmt numFmtId="166" formatCode="0.000"/>
    <numFmt numFmtId="167" formatCode="#,##0.000;\(#,##0.000\)"/>
    <numFmt numFmtId="168" formatCode="_-* #,##0_-;\-* #,##0_-;_-* &quot;-&quot;??_-;_-@_-"/>
    <numFmt numFmtId="169" formatCode="0.0000000"/>
    <numFmt numFmtId="170" formatCode="_-* #,##0.000_-;\-* #,##0.000_-;_-* &quot;-&quot;??_-;_-@_-"/>
    <numFmt numFmtId="171" formatCode="&quot;£&quot;#,##0.000"/>
    <numFmt numFmtId="172" formatCode="0.0%"/>
  </numFmts>
  <fonts count="49" x14ac:knownFonts="1">
    <font>
      <sz val="12"/>
      <name val="Arial"/>
    </font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Verdana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6"/>
      <color indexed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0">
    <xf numFmtId="0" fontId="0" fillId="0" borderId="0"/>
    <xf numFmtId="0" fontId="14" fillId="0" borderId="0"/>
    <xf numFmtId="0" fontId="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/>
    <xf numFmtId="0" fontId="6" fillId="0" borderId="0"/>
    <xf numFmtId="0" fontId="14" fillId="0" borderId="0"/>
    <xf numFmtId="0" fontId="3" fillId="0" borderId="0"/>
    <xf numFmtId="0" fontId="2" fillId="0" borderId="0"/>
    <xf numFmtId="0" fontId="1" fillId="23" borderId="7" applyNumberFormat="0" applyFont="0" applyAlignment="0" applyProtection="0"/>
    <xf numFmtId="0" fontId="6" fillId="23" borderId="7" applyNumberFormat="0" applyFont="0" applyAlignment="0" applyProtection="0"/>
    <xf numFmtId="0" fontId="28" fillId="20" borderId="8" applyNumberFormat="0" applyAlignment="0" applyProtection="0"/>
    <xf numFmtId="40" fontId="32" fillId="24" borderId="0">
      <alignment horizontal="right"/>
    </xf>
    <xf numFmtId="0" fontId="33" fillId="24" borderId="0">
      <alignment horizontal="right"/>
    </xf>
    <xf numFmtId="0" fontId="34" fillId="24" borderId="9"/>
    <xf numFmtId="0" fontId="34" fillId="0" borderId="0" applyBorder="0">
      <alignment horizontal="centerContinuous"/>
    </xf>
    <xf numFmtId="0" fontId="35" fillId="25" borderId="10">
      <alignment horizontal="centerContinuous"/>
    </xf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7">
    <xf numFmtId="0" fontId="0" fillId="0" borderId="0" xfId="0"/>
    <xf numFmtId="0" fontId="6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Continuous" wrapText="1"/>
    </xf>
    <xf numFmtId="16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 vertical="top"/>
    </xf>
    <xf numFmtId="165" fontId="4" fillId="0" borderId="13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vertical="top"/>
    </xf>
    <xf numFmtId="1" fontId="4" fillId="0" borderId="12" xfId="0" applyNumberFormat="1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164" fontId="6" fillId="0" borderId="17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6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/>
    <xf numFmtId="0" fontId="6" fillId="0" borderId="0" xfId="0" applyFont="1" applyFill="1" applyAlignment="1">
      <alignment horizontal="right"/>
    </xf>
    <xf numFmtId="164" fontId="4" fillId="0" borderId="10" xfId="0" applyNumberFormat="1" applyFont="1" applyFill="1" applyBorder="1"/>
    <xf numFmtId="164" fontId="4" fillId="0" borderId="16" xfId="0" applyNumberFormat="1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/>
    <xf numFmtId="164" fontId="9" fillId="0" borderId="18" xfId="0" applyNumberFormat="1" applyFont="1" applyFill="1" applyBorder="1" applyAlignment="1">
      <alignment vertical="top"/>
    </xf>
    <xf numFmtId="164" fontId="6" fillId="0" borderId="16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4" fillId="0" borderId="19" xfId="0" applyNumberFormat="1" applyFont="1" applyFill="1" applyBorder="1" applyAlignment="1">
      <alignment vertical="top"/>
    </xf>
    <xf numFmtId="1" fontId="7" fillId="0" borderId="14" xfId="0" applyNumberFormat="1" applyFont="1" applyFill="1" applyBorder="1" applyAlignment="1">
      <alignment horizontal="left" vertical="center"/>
    </xf>
    <xf numFmtId="165" fontId="4" fillId="0" borderId="2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165" fontId="1" fillId="0" borderId="0" xfId="0" applyNumberFormat="1" applyFont="1" applyFill="1"/>
    <xf numFmtId="1" fontId="4" fillId="0" borderId="13" xfId="0" applyNumberFormat="1" applyFont="1" applyFill="1" applyBorder="1" applyAlignment="1">
      <alignment horizontal="center" vertical="center"/>
    </xf>
    <xf numFmtId="0" fontId="4" fillId="0" borderId="0" xfId="0" applyFont="1"/>
    <xf numFmtId="164" fontId="4" fillId="0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4" fillId="0" borderId="22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left" vertical="top"/>
    </xf>
    <xf numFmtId="0" fontId="6" fillId="0" borderId="0" xfId="0" applyFont="1"/>
    <xf numFmtId="0" fontId="10" fillId="0" borderId="0" xfId="0" applyFont="1" applyFill="1" applyAlignment="1">
      <alignment horizontal="left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vertical="center"/>
    </xf>
    <xf numFmtId="164" fontId="4" fillId="0" borderId="22" xfId="0" applyNumberFormat="1" applyFont="1" applyFill="1" applyBorder="1"/>
    <xf numFmtId="164" fontId="4" fillId="0" borderId="22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top"/>
    </xf>
    <xf numFmtId="1" fontId="7" fillId="0" borderId="24" xfId="0" applyNumberFormat="1" applyFont="1" applyFill="1" applyBorder="1" applyAlignment="1">
      <alignment horizontal="left" vertical="center"/>
    </xf>
    <xf numFmtId="166" fontId="4" fillId="26" borderId="25" xfId="0" applyNumberFormat="1" applyFont="1" applyFill="1" applyBorder="1" applyAlignment="1">
      <alignment horizontal="center" vertical="top" textRotation="180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/>
    <xf numFmtId="0" fontId="6" fillId="0" borderId="27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6" fontId="4" fillId="26" borderId="28" xfId="0" applyNumberFormat="1" applyFont="1" applyFill="1" applyBorder="1" applyAlignment="1">
      <alignment horizontal="center" vertical="top" textRotation="180" wrapText="1"/>
    </xf>
    <xf numFmtId="166" fontId="0" fillId="0" borderId="0" xfId="0" applyNumberFormat="1"/>
    <xf numFmtId="169" fontId="0" fillId="0" borderId="0" xfId="0" applyNumberFormat="1"/>
    <xf numFmtId="0" fontId="4" fillId="27" borderId="29" xfId="0" applyFont="1" applyFill="1" applyBorder="1"/>
    <xf numFmtId="0" fontId="4" fillId="27" borderId="30" xfId="0" applyFont="1" applyFill="1" applyBorder="1"/>
    <xf numFmtId="0" fontId="4" fillId="27" borderId="31" xfId="0" applyFont="1" applyFill="1" applyBorder="1"/>
    <xf numFmtId="0" fontId="4" fillId="27" borderId="32" xfId="0" applyFont="1" applyFill="1" applyBorder="1"/>
    <xf numFmtId="0" fontId="4" fillId="27" borderId="33" xfId="0" applyFont="1" applyFill="1" applyBorder="1"/>
    <xf numFmtId="0" fontId="4" fillId="27" borderId="34" xfId="0" applyFont="1" applyFill="1" applyBorder="1"/>
    <xf numFmtId="166" fontId="13" fillId="0" borderId="10" xfId="0" applyNumberFormat="1" applyFont="1" applyFill="1" applyBorder="1" applyAlignment="1">
      <alignment horizontal="center" vertical="top" wrapText="1"/>
    </xf>
    <xf numFmtId="164" fontId="4" fillId="26" borderId="35" xfId="0" applyNumberFormat="1" applyFont="1" applyFill="1" applyBorder="1" applyAlignment="1">
      <alignment horizontal="center" vertical="top" wrapText="1"/>
    </xf>
    <xf numFmtId="0" fontId="4" fillId="26" borderId="36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4" fillId="26" borderId="37" xfId="0" applyFont="1" applyFill="1" applyBorder="1" applyAlignment="1">
      <alignment horizontal="center" vertical="top" wrapText="1"/>
    </xf>
    <xf numFmtId="164" fontId="6" fillId="0" borderId="37" xfId="0" applyNumberFormat="1" applyFont="1" applyFill="1" applyBorder="1" applyAlignment="1">
      <alignment horizontal="right" vertical="top" wrapText="1"/>
    </xf>
    <xf numFmtId="164" fontId="4" fillId="0" borderId="38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righ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Alignment="1">
      <alignment vertical="center"/>
    </xf>
    <xf numFmtId="167" fontId="7" fillId="0" borderId="2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35" xfId="0" applyNumberFormat="1" applyFont="1" applyFill="1" applyBorder="1" applyAlignment="1">
      <alignment horizontal="right" vertical="center" wrapText="1"/>
    </xf>
    <xf numFmtId="165" fontId="4" fillId="0" borderId="40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top" wrapText="1"/>
    </xf>
    <xf numFmtId="166" fontId="11" fillId="0" borderId="17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/>
    </xf>
    <xf numFmtId="164" fontId="4" fillId="0" borderId="16" xfId="0" applyNumberFormat="1" applyFont="1" applyFill="1" applyBorder="1" applyAlignment="1">
      <alignment vertical="top"/>
    </xf>
    <xf numFmtId="164" fontId="4" fillId="0" borderId="24" xfId="0" applyNumberFormat="1" applyFont="1" applyFill="1" applyBorder="1" applyAlignment="1">
      <alignment vertical="top"/>
    </xf>
    <xf numFmtId="164" fontId="6" fillId="0" borderId="26" xfId="0" applyNumberFormat="1" applyFont="1" applyFill="1" applyBorder="1" applyAlignment="1">
      <alignment horizontal="right" wrapText="1"/>
    </xf>
    <xf numFmtId="164" fontId="6" fillId="0" borderId="39" xfId="0" applyNumberFormat="1" applyFont="1" applyFill="1" applyBorder="1" applyAlignment="1">
      <alignment horizontal="right" wrapText="1"/>
    </xf>
    <xf numFmtId="164" fontId="6" fillId="0" borderId="38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left" vertical="top" wrapText="1"/>
    </xf>
    <xf numFmtId="10" fontId="7" fillId="0" borderId="39" xfId="0" applyNumberFormat="1" applyFont="1" applyFill="1" applyBorder="1" applyAlignment="1">
      <alignment horizontal="center"/>
    </xf>
    <xf numFmtId="10" fontId="7" fillId="0" borderId="38" xfId="0" applyNumberFormat="1" applyFont="1" applyFill="1" applyBorder="1" applyAlignment="1">
      <alignment horizontal="center"/>
    </xf>
    <xf numFmtId="9" fontId="7" fillId="0" borderId="38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top" wrapText="1"/>
    </xf>
    <xf numFmtId="167" fontId="4" fillId="0" borderId="16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horizontal="center" wrapText="1"/>
    </xf>
    <xf numFmtId="164" fontId="4" fillId="0" borderId="41" xfId="0" applyNumberFormat="1" applyFont="1" applyFill="1" applyBorder="1"/>
    <xf numFmtId="166" fontId="4" fillId="26" borderId="37" xfId="0" applyNumberFormat="1" applyFont="1" applyFill="1" applyBorder="1" applyAlignment="1">
      <alignment horizontal="center" vertical="top" wrapText="1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right" wrapText="1"/>
    </xf>
    <xf numFmtId="166" fontId="4" fillId="0" borderId="16" xfId="0" applyNumberFormat="1" applyFont="1" applyFill="1" applyBorder="1" applyAlignment="1">
      <alignment vertical="center"/>
    </xf>
    <xf numFmtId="166" fontId="4" fillId="0" borderId="37" xfId="0" applyNumberFormat="1" applyFont="1" applyFill="1" applyBorder="1" applyAlignment="1">
      <alignment vertical="center"/>
    </xf>
    <xf numFmtId="0" fontId="4" fillId="0" borderId="12" xfId="0" applyFont="1" applyBorder="1"/>
    <xf numFmtId="0" fontId="4" fillId="0" borderId="12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vertical="center"/>
    </xf>
    <xf numFmtId="164" fontId="4" fillId="0" borderId="0" xfId="46" applyNumberFormat="1" applyFont="1" applyFill="1" applyBorder="1" applyAlignment="1"/>
    <xf numFmtId="0" fontId="3" fillId="0" borderId="0" xfId="46"/>
    <xf numFmtId="0" fontId="4" fillId="0" borderId="12" xfId="46" applyFont="1" applyFill="1" applyBorder="1" applyAlignment="1">
      <alignment vertical="center"/>
    </xf>
    <xf numFmtId="0" fontId="6" fillId="0" borderId="12" xfId="46" applyFont="1" applyFill="1" applyBorder="1" applyAlignment="1">
      <alignment vertical="center"/>
    </xf>
    <xf numFmtId="0" fontId="6" fillId="0" borderId="24" xfId="46" applyFont="1" applyFill="1" applyBorder="1" applyAlignment="1">
      <alignment vertical="center"/>
    </xf>
    <xf numFmtId="0" fontId="7" fillId="0" borderId="0" xfId="46" applyFont="1"/>
    <xf numFmtId="0" fontId="6" fillId="0" borderId="0" xfId="0" applyFont="1" applyAlignment="1">
      <alignment wrapText="1"/>
    </xf>
    <xf numFmtId="0" fontId="6" fillId="0" borderId="31" xfId="0" applyFont="1" applyBorder="1" applyAlignment="1">
      <alignment wrapText="1"/>
    </xf>
    <xf numFmtId="2" fontId="4" fillId="0" borderId="0" xfId="0" applyNumberFormat="1" applyFont="1"/>
    <xf numFmtId="2" fontId="6" fillId="0" borderId="0" xfId="0" applyNumberFormat="1" applyFont="1"/>
    <xf numFmtId="168" fontId="4" fillId="0" borderId="43" xfId="30" applyNumberFormat="1" applyFont="1" applyBorder="1"/>
    <xf numFmtId="0" fontId="6" fillId="0" borderId="27" xfId="0" applyFont="1" applyBorder="1" applyAlignment="1">
      <alignment wrapText="1"/>
    </xf>
    <xf numFmtId="0" fontId="4" fillId="0" borderId="0" xfId="0" applyFont="1" applyFill="1" applyAlignment="1">
      <alignment vertical="top" wrapText="1"/>
    </xf>
    <xf numFmtId="164" fontId="4" fillId="0" borderId="44" xfId="0" applyNumberFormat="1" applyFont="1" applyFill="1" applyBorder="1" applyAlignment="1">
      <alignment horizontal="right" wrapText="1"/>
    </xf>
    <xf numFmtId="164" fontId="4" fillId="0" borderId="45" xfId="0" applyNumberFormat="1" applyFont="1" applyFill="1" applyBorder="1" applyAlignment="1">
      <alignment horizontal="right" vertical="center"/>
    </xf>
    <xf numFmtId="164" fontId="7" fillId="26" borderId="44" xfId="0" applyNumberFormat="1" applyFont="1" applyFill="1" applyBorder="1" applyAlignment="1">
      <alignment horizontal="center" vertical="top" wrapText="1"/>
    </xf>
    <xf numFmtId="164" fontId="7" fillId="26" borderId="4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4" fontId="11" fillId="0" borderId="17" xfId="0" applyNumberFormat="1" applyFont="1" applyFill="1" applyBorder="1" applyAlignment="1">
      <alignment horizontal="right" vertical="top" wrapText="1"/>
    </xf>
    <xf numFmtId="164" fontId="4" fillId="0" borderId="47" xfId="46" applyNumberFormat="1" applyFont="1" applyFill="1" applyBorder="1" applyAlignment="1">
      <alignment vertical="top"/>
    </xf>
    <xf numFmtId="1" fontId="7" fillId="0" borderId="48" xfId="46" applyNumberFormat="1" applyFont="1" applyFill="1" applyBorder="1" applyAlignment="1">
      <alignment horizontal="left" vertical="top"/>
    </xf>
    <xf numFmtId="0" fontId="4" fillId="0" borderId="49" xfId="46" applyFont="1" applyFill="1" applyBorder="1" applyAlignment="1">
      <alignment vertical="center"/>
    </xf>
    <xf numFmtId="0" fontId="6" fillId="0" borderId="49" xfId="46" applyFont="1" applyFill="1" applyBorder="1" applyAlignment="1">
      <alignment vertical="center"/>
    </xf>
    <xf numFmtId="0" fontId="6" fillId="0" borderId="48" xfId="46" applyFont="1" applyFill="1" applyBorder="1" applyAlignment="1">
      <alignment vertical="center"/>
    </xf>
    <xf numFmtId="0" fontId="4" fillId="0" borderId="50" xfId="46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3" fillId="0" borderId="0" xfId="46" applyFont="1"/>
    <xf numFmtId="167" fontId="4" fillId="0" borderId="0" xfId="0" applyNumberFormat="1" applyFont="1"/>
    <xf numFmtId="167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right" vertical="center" wrapText="1"/>
    </xf>
    <xf numFmtId="164" fontId="4" fillId="0" borderId="44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 wrapText="1"/>
    </xf>
    <xf numFmtId="167" fontId="7" fillId="0" borderId="51" xfId="0" applyNumberFormat="1" applyFont="1" applyFill="1" applyBorder="1" applyAlignment="1">
      <alignment horizontal="center" vertical="center"/>
    </xf>
    <xf numFmtId="0" fontId="0" fillId="0" borderId="52" xfId="0" applyBorder="1"/>
    <xf numFmtId="0" fontId="4" fillId="0" borderId="52" xfId="0" applyFont="1" applyBorder="1"/>
    <xf numFmtId="0" fontId="4" fillId="0" borderId="53" xfId="45" applyFont="1" applyBorder="1" applyAlignment="1">
      <alignment horizontal="center" vertical="top" wrapText="1"/>
    </xf>
    <xf numFmtId="0" fontId="4" fillId="0" borderId="54" xfId="45" applyFont="1" applyBorder="1" applyAlignment="1">
      <alignment horizontal="left" vertical="top" wrapText="1"/>
    </xf>
    <xf numFmtId="0" fontId="4" fillId="0" borderId="55" xfId="45" applyFont="1" applyBorder="1"/>
    <xf numFmtId="0" fontId="36" fillId="0" borderId="56" xfId="45" applyFont="1" applyBorder="1"/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24" xfId="0" applyBorder="1"/>
    <xf numFmtId="0" fontId="0" fillId="0" borderId="0" xfId="0" applyAlignment="1">
      <alignment horizontal="center" vertical="top" wrapText="1"/>
    </xf>
    <xf numFmtId="0" fontId="4" fillId="0" borderId="56" xfId="45" applyFont="1" applyBorder="1"/>
    <xf numFmtId="167" fontId="4" fillId="0" borderId="52" xfId="45" applyNumberFormat="1" applyFont="1" applyBorder="1"/>
    <xf numFmtId="167" fontId="4" fillId="0" borderId="57" xfId="45" applyNumberFormat="1" applyFont="1" applyBorder="1"/>
    <xf numFmtId="0" fontId="6" fillId="0" borderId="58" xfId="46" applyFont="1" applyFill="1" applyBorder="1" applyAlignment="1">
      <alignment vertical="center"/>
    </xf>
    <xf numFmtId="0" fontId="4" fillId="0" borderId="52" xfId="46" applyFont="1" applyFill="1" applyBorder="1" applyAlignment="1">
      <alignment vertical="center"/>
    </xf>
    <xf numFmtId="168" fontId="4" fillId="0" borderId="59" xfId="30" applyNumberFormat="1" applyFont="1" applyBorder="1"/>
    <xf numFmtId="0" fontId="6" fillId="0" borderId="60" xfId="0" applyFont="1" applyBorder="1"/>
    <xf numFmtId="0" fontId="4" fillId="0" borderId="52" xfId="0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horizontal="right" wrapText="1"/>
    </xf>
    <xf numFmtId="167" fontId="7" fillId="0" borderId="61" xfId="45" applyNumberFormat="1" applyFont="1" applyBorder="1" applyAlignment="1">
      <alignment horizontal="center" vertical="top" wrapText="1"/>
    </xf>
    <xf numFmtId="167" fontId="7" fillId="0" borderId="62" xfId="45" applyNumberFormat="1" applyFont="1" applyBorder="1" applyAlignment="1">
      <alignment horizontal="center" vertical="top" wrapText="1"/>
    </xf>
    <xf numFmtId="0" fontId="2" fillId="0" borderId="63" xfId="45" applyFont="1" applyBorder="1" applyAlignment="1">
      <alignment horizontal="center" vertical="top" wrapText="1"/>
    </xf>
    <xf numFmtId="167" fontId="7" fillId="0" borderId="64" xfId="45" applyNumberFormat="1" applyFont="1" applyBorder="1" applyAlignment="1">
      <alignment horizontal="center" vertical="top" wrapText="1"/>
    </xf>
    <xf numFmtId="167" fontId="7" fillId="0" borderId="65" xfId="45" applyNumberFormat="1" applyFont="1" applyBorder="1" applyAlignment="1">
      <alignment horizontal="center" vertical="top" wrapText="1"/>
    </xf>
    <xf numFmtId="167" fontId="7" fillId="0" borderId="51" xfId="45" applyNumberFormat="1" applyFont="1" applyBorder="1" applyAlignment="1">
      <alignment horizontal="center" vertical="top" wrapText="1"/>
    </xf>
    <xf numFmtId="167" fontId="7" fillId="0" borderId="66" xfId="45" applyNumberFormat="1" applyFont="1" applyBorder="1" applyAlignment="1">
      <alignment horizontal="center" vertical="top" wrapText="1"/>
    </xf>
    <xf numFmtId="167" fontId="6" fillId="0" borderId="67" xfId="45" applyNumberFormat="1" applyFont="1" applyBorder="1"/>
    <xf numFmtId="167" fontId="6" fillId="0" borderId="52" xfId="45" applyNumberFormat="1" applyFont="1" applyBorder="1"/>
    <xf numFmtId="0" fontId="6" fillId="0" borderId="56" xfId="45" applyFont="1" applyBorder="1"/>
    <xf numFmtId="0" fontId="6" fillId="0" borderId="56" xfId="45" applyFont="1" applyBorder="1" applyAlignment="1">
      <alignment wrapText="1"/>
    </xf>
    <xf numFmtId="0" fontId="6" fillId="0" borderId="54" xfId="45" applyFont="1" applyBorder="1"/>
    <xf numFmtId="167" fontId="6" fillId="0" borderId="51" xfId="45" applyNumberFormat="1" applyFont="1" applyBorder="1"/>
    <xf numFmtId="0" fontId="4" fillId="0" borderId="69" xfId="45" applyFont="1" applyBorder="1"/>
    <xf numFmtId="167" fontId="6" fillId="28" borderId="52" xfId="45" applyNumberFormat="1" applyFont="1" applyFill="1" applyBorder="1"/>
    <xf numFmtId="0" fontId="36" fillId="0" borderId="0" xfId="0" applyFont="1" applyFill="1"/>
    <xf numFmtId="0" fontId="4" fillId="0" borderId="0" xfId="0" applyFont="1" applyBorder="1" applyAlignment="1">
      <alignment horizontal="center"/>
    </xf>
    <xf numFmtId="0" fontId="4" fillId="26" borderId="44" xfId="0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left" vertical="center"/>
    </xf>
    <xf numFmtId="164" fontId="4" fillId="0" borderId="44" xfId="0" applyNumberFormat="1" applyFont="1" applyFill="1" applyBorder="1" applyAlignment="1">
      <alignment vertical="center"/>
    </xf>
    <xf numFmtId="164" fontId="4" fillId="29" borderId="10" xfId="0" applyNumberFormat="1" applyFont="1" applyFill="1" applyBorder="1" applyAlignment="1">
      <alignment horizontal="right" wrapText="1"/>
    </xf>
    <xf numFmtId="167" fontId="7" fillId="30" borderId="26" xfId="0" applyNumberFormat="1" applyFont="1" applyFill="1" applyBorder="1" applyAlignment="1">
      <alignment horizontal="center" vertical="center"/>
    </xf>
    <xf numFmtId="167" fontId="4" fillId="30" borderId="10" xfId="0" applyNumberFormat="1" applyFont="1" applyFill="1" applyBorder="1" applyAlignment="1">
      <alignment horizontal="center" vertical="center"/>
    </xf>
    <xf numFmtId="167" fontId="4" fillId="30" borderId="10" xfId="0" applyNumberFormat="1" applyFont="1" applyFill="1" applyBorder="1" applyAlignment="1">
      <alignment horizontal="right" vertical="center" wrapText="1"/>
    </xf>
    <xf numFmtId="167" fontId="4" fillId="30" borderId="10" xfId="0" applyNumberFormat="1" applyFont="1" applyFill="1" applyBorder="1" applyAlignment="1" applyProtection="1">
      <alignment horizontal="right" vertical="center" wrapText="1"/>
      <protection hidden="1"/>
    </xf>
    <xf numFmtId="167" fontId="6" fillId="30" borderId="10" xfId="0" applyNumberFormat="1" applyFont="1" applyFill="1" applyBorder="1" applyAlignment="1">
      <alignment horizontal="right" vertical="center" wrapText="1"/>
    </xf>
    <xf numFmtId="164" fontId="4" fillId="30" borderId="22" xfId="0" applyNumberFormat="1" applyFont="1" applyFill="1" applyBorder="1" applyAlignment="1">
      <alignment horizontal="right" vertical="center" wrapText="1"/>
    </xf>
    <xf numFmtId="167" fontId="7" fillId="30" borderId="38" xfId="0" applyNumberFormat="1" applyFont="1" applyFill="1" applyBorder="1" applyAlignment="1">
      <alignment horizontal="center" vertical="center"/>
    </xf>
    <xf numFmtId="167" fontId="4" fillId="30" borderId="16" xfId="0" applyNumberFormat="1" applyFont="1" applyFill="1" applyBorder="1" applyAlignment="1">
      <alignment horizontal="center" vertical="center" wrapText="1"/>
    </xf>
    <xf numFmtId="167" fontId="4" fillId="30" borderId="16" xfId="0" applyNumberFormat="1" applyFont="1" applyFill="1" applyBorder="1" applyAlignment="1">
      <alignment horizontal="right" vertical="center" wrapText="1"/>
    </xf>
    <xf numFmtId="167" fontId="6" fillId="30" borderId="16" xfId="0" applyNumberFormat="1" applyFont="1" applyFill="1" applyBorder="1" applyAlignment="1">
      <alignment horizontal="right" vertical="center" wrapText="1"/>
    </xf>
    <xf numFmtId="164" fontId="4" fillId="30" borderId="41" xfId="0" applyNumberFormat="1" applyFont="1" applyFill="1" applyBorder="1" applyAlignment="1">
      <alignment horizontal="right" vertical="center" wrapText="1"/>
    </xf>
    <xf numFmtId="167" fontId="7" fillId="30" borderId="51" xfId="0" applyNumberFormat="1" applyFont="1" applyFill="1" applyBorder="1" applyAlignment="1">
      <alignment horizontal="center" vertical="center"/>
    </xf>
    <xf numFmtId="0" fontId="0" fillId="30" borderId="52" xfId="0" applyFill="1" applyBorder="1"/>
    <xf numFmtId="164" fontId="4" fillId="31" borderId="17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wrapText="1"/>
    </xf>
    <xf numFmtId="166" fontId="13" fillId="0" borderId="39" xfId="0" applyNumberFormat="1" applyFont="1" applyFill="1" applyBorder="1" applyAlignment="1">
      <alignment horizontal="center" vertical="top" wrapText="1"/>
    </xf>
    <xf numFmtId="0" fontId="4" fillId="0" borderId="20" xfId="46" applyFont="1" applyFill="1" applyBorder="1" applyAlignment="1">
      <alignment horizontal="center" vertical="top"/>
    </xf>
    <xf numFmtId="0" fontId="7" fillId="0" borderId="38" xfId="46" applyFont="1" applyFill="1" applyBorder="1" applyAlignment="1">
      <alignment vertical="top"/>
    </xf>
    <xf numFmtId="166" fontId="4" fillId="0" borderId="16" xfId="46" applyNumberFormat="1" applyFont="1" applyFill="1" applyBorder="1" applyAlignment="1">
      <alignment vertical="center"/>
    </xf>
    <xf numFmtId="166" fontId="6" fillId="0" borderId="28" xfId="46" applyNumberFormat="1" applyFont="1" applyFill="1" applyBorder="1"/>
    <xf numFmtId="166" fontId="4" fillId="0" borderId="41" xfId="46" applyNumberFormat="1" applyFont="1" applyFill="1" applyBorder="1" applyAlignment="1">
      <alignment vertical="center"/>
    </xf>
    <xf numFmtId="167" fontId="4" fillId="0" borderId="52" xfId="0" applyNumberFormat="1" applyFont="1" applyFill="1" applyBorder="1" applyAlignment="1">
      <alignment horizontal="right" vertical="center" wrapText="1"/>
    </xf>
    <xf numFmtId="167" fontId="6" fillId="0" borderId="52" xfId="0" applyNumberFormat="1" applyFont="1" applyFill="1" applyBorder="1" applyAlignment="1">
      <alignment horizontal="right" vertical="center" wrapText="1"/>
    </xf>
    <xf numFmtId="164" fontId="4" fillId="0" borderId="44" xfId="0" applyNumberFormat="1" applyFont="1" applyFill="1" applyBorder="1" applyAlignment="1">
      <alignment horizontal="right" vertical="top" wrapText="1"/>
    </xf>
    <xf numFmtId="166" fontId="4" fillId="0" borderId="70" xfId="30" applyNumberFormat="1" applyFont="1" applyBorder="1"/>
    <xf numFmtId="166" fontId="6" fillId="0" borderId="70" xfId="30" applyNumberFormat="1" applyFont="1" applyBorder="1"/>
    <xf numFmtId="166" fontId="4" fillId="0" borderId="12" xfId="30" applyNumberFormat="1" applyFont="1" applyBorder="1"/>
    <xf numFmtId="166" fontId="6" fillId="0" borderId="12" xfId="30" applyNumberFormat="1" applyFont="1" applyBorder="1"/>
    <xf numFmtId="0" fontId="6" fillId="0" borderId="33" xfId="0" applyFont="1" applyBorder="1"/>
    <xf numFmtId="164" fontId="4" fillId="32" borderId="10" xfId="0" applyNumberFormat="1" applyFont="1" applyFill="1" applyBorder="1" applyAlignment="1">
      <alignment horizontal="right" vertical="center" wrapText="1"/>
    </xf>
    <xf numFmtId="164" fontId="4" fillId="32" borderId="22" xfId="0" applyNumberFormat="1" applyFont="1" applyFill="1" applyBorder="1" applyAlignment="1">
      <alignment horizontal="right" vertical="center" wrapText="1"/>
    </xf>
    <xf numFmtId="166" fontId="4" fillId="0" borderId="59" xfId="0" applyNumberFormat="1" applyFont="1" applyBorder="1"/>
    <xf numFmtId="1" fontId="4" fillId="0" borderId="20" xfId="0" applyNumberFormat="1" applyFont="1" applyFill="1" applyBorder="1" applyAlignment="1">
      <alignment horizontal="center" vertical="center"/>
    </xf>
    <xf numFmtId="168" fontId="4" fillId="0" borderId="0" xfId="30" applyNumberFormat="1" applyFont="1" applyFill="1"/>
    <xf numFmtId="168" fontId="6" fillId="0" borderId="0" xfId="30" applyNumberFormat="1" applyFont="1" applyFill="1"/>
    <xf numFmtId="168" fontId="6" fillId="0" borderId="0" xfId="30" applyNumberFormat="1" applyFont="1"/>
    <xf numFmtId="166" fontId="4" fillId="26" borderId="4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6" fontId="4" fillId="0" borderId="15" xfId="30" applyNumberFormat="1" applyFont="1" applyBorder="1"/>
    <xf numFmtId="0" fontId="4" fillId="0" borderId="73" xfId="0" applyFont="1" applyFill="1" applyBorder="1" applyAlignment="1">
      <alignment horizontal="center" vertical="top" wrapText="1"/>
    </xf>
    <xf numFmtId="0" fontId="4" fillId="26" borderId="74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167" fontId="4" fillId="26" borderId="26" xfId="0" applyNumberFormat="1" applyFont="1" applyFill="1" applyBorder="1" applyAlignment="1">
      <alignment horizontal="center" vertical="top" wrapText="1"/>
    </xf>
    <xf numFmtId="167" fontId="4" fillId="26" borderId="38" xfId="0" applyNumberFormat="1" applyFont="1" applyFill="1" applyBorder="1" applyAlignment="1">
      <alignment horizontal="center" vertical="top" wrapText="1"/>
    </xf>
    <xf numFmtId="167" fontId="4" fillId="26" borderId="39" xfId="0" applyNumberFormat="1" applyFont="1" applyFill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164" fontId="4" fillId="26" borderId="75" xfId="46" applyNumberFormat="1" applyFont="1" applyFill="1" applyBorder="1" applyAlignment="1">
      <alignment horizontal="center" vertical="top" wrapText="1"/>
    </xf>
    <xf numFmtId="1" fontId="4" fillId="0" borderId="76" xfId="46" applyNumberFormat="1" applyFont="1" applyFill="1" applyBorder="1" applyAlignment="1">
      <alignment horizontal="center"/>
    </xf>
    <xf numFmtId="0" fontId="6" fillId="0" borderId="60" xfId="0" applyFont="1" applyBorder="1" applyAlignment="1">
      <alignment wrapText="1"/>
    </xf>
    <xf numFmtId="0" fontId="6" fillId="0" borderId="67" xfId="0" applyFont="1" applyBorder="1"/>
    <xf numFmtId="0" fontId="4" fillId="0" borderId="14" xfId="0" applyFont="1" applyBorder="1" applyAlignment="1">
      <alignment horizontal="center"/>
    </xf>
    <xf numFmtId="167" fontId="4" fillId="26" borderId="51" xfId="0" applyNumberFormat="1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center"/>
    </xf>
    <xf numFmtId="0" fontId="4" fillId="26" borderId="51" xfId="0" applyFont="1" applyFill="1" applyBorder="1" applyAlignment="1">
      <alignment horizontal="center" vertical="top" wrapText="1"/>
    </xf>
    <xf numFmtId="0" fontId="0" fillId="0" borderId="14" xfId="0" applyBorder="1"/>
    <xf numFmtId="0" fontId="6" fillId="0" borderId="0" xfId="0" applyFont="1" applyFill="1" applyAlignment="1">
      <alignment horizontal="center" wrapText="1"/>
    </xf>
    <xf numFmtId="164" fontId="4" fillId="0" borderId="26" xfId="0" applyNumberFormat="1" applyFont="1" applyFill="1" applyBorder="1" applyAlignment="1">
      <alignment horizontal="center" wrapText="1"/>
    </xf>
    <xf numFmtId="166" fontId="4" fillId="32" borderId="25" xfId="0" applyNumberFormat="1" applyFont="1" applyFill="1" applyBorder="1" applyAlignment="1">
      <alignment horizontal="center" vertical="top" textRotation="180" wrapText="1"/>
    </xf>
    <xf numFmtId="164" fontId="7" fillId="32" borderId="46" xfId="0" applyNumberFormat="1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164" fontId="4" fillId="26" borderId="77" xfId="47" applyNumberFormat="1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43" xfId="30" applyNumberFormat="1" applyFont="1" applyBorder="1"/>
    <xf numFmtId="0" fontId="5" fillId="0" borderId="0" xfId="0" applyFont="1" applyFill="1"/>
    <xf numFmtId="0" fontId="4" fillId="0" borderId="79" xfId="0" applyFont="1" applyFill="1" applyBorder="1"/>
    <xf numFmtId="0" fontId="4" fillId="0" borderId="80" xfId="0" applyFont="1" applyFill="1" applyBorder="1"/>
    <xf numFmtId="166" fontId="4" fillId="0" borderId="41" xfId="0" applyNumberFormat="1" applyFont="1" applyFill="1" applyBorder="1" applyAlignment="1">
      <alignment horizontal="right" vertical="center" wrapText="1"/>
    </xf>
    <xf numFmtId="167" fontId="4" fillId="26" borderId="71" xfId="0" applyNumberFormat="1" applyFont="1" applyFill="1" applyBorder="1" applyAlignment="1">
      <alignment horizontal="center" vertical="top" wrapText="1"/>
    </xf>
    <xf numFmtId="167" fontId="7" fillId="0" borderId="72" xfId="0" applyNumberFormat="1" applyFont="1" applyFill="1" applyBorder="1" applyAlignment="1">
      <alignment horizontal="center" vertical="center"/>
    </xf>
    <xf numFmtId="167" fontId="4" fillId="0" borderId="71" xfId="0" applyNumberFormat="1" applyFont="1" applyFill="1" applyBorder="1" applyAlignment="1">
      <alignment horizontal="center" vertical="center"/>
    </xf>
    <xf numFmtId="167" fontId="4" fillId="0" borderId="71" xfId="0" applyNumberFormat="1" applyFont="1" applyFill="1" applyBorder="1" applyAlignment="1">
      <alignment horizontal="right" vertical="center" wrapText="1"/>
    </xf>
    <xf numFmtId="167" fontId="6" fillId="0" borderId="71" xfId="0" applyNumberFormat="1" applyFont="1" applyFill="1" applyBorder="1" applyAlignment="1">
      <alignment horizontal="right" vertical="center" wrapText="1"/>
    </xf>
    <xf numFmtId="167" fontId="6" fillId="0" borderId="81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horizontal="right" vertical="center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6" fillId="0" borderId="36" xfId="0" applyNumberFormat="1" applyFont="1" applyFill="1" applyBorder="1" applyAlignment="1">
      <alignment vertical="center"/>
    </xf>
    <xf numFmtId="164" fontId="4" fillId="0" borderId="70" xfId="33" applyNumberFormat="1" applyFont="1" applyBorder="1"/>
    <xf numFmtId="164" fontId="6" fillId="0" borderId="70" xfId="33" applyNumberFormat="1" applyFont="1" applyBorder="1"/>
    <xf numFmtId="164" fontId="6" fillId="0" borderId="42" xfId="0" applyNumberFormat="1" applyFont="1" applyBorder="1"/>
    <xf numFmtId="167" fontId="4" fillId="0" borderId="51" xfId="45" applyNumberFormat="1" applyFont="1" applyBorder="1"/>
    <xf numFmtId="166" fontId="6" fillId="0" borderId="52" xfId="45" applyNumberFormat="1" applyFont="1" applyBorder="1"/>
    <xf numFmtId="167" fontId="4" fillId="29" borderId="52" xfId="45" applyNumberFormat="1" applyFont="1" applyFill="1" applyBorder="1"/>
    <xf numFmtId="167" fontId="4" fillId="29" borderId="57" xfId="45" applyNumberFormat="1" applyFont="1" applyFill="1" applyBorder="1"/>
    <xf numFmtId="164" fontId="6" fillId="0" borderId="0" xfId="0" applyNumberFormat="1" applyFont="1" applyFill="1"/>
    <xf numFmtId="0" fontId="6" fillId="0" borderId="0" xfId="0" applyFont="1" applyFill="1" applyAlignment="1">
      <alignment wrapText="1"/>
    </xf>
    <xf numFmtId="165" fontId="4" fillId="33" borderId="13" xfId="0" applyNumberFormat="1" applyFont="1" applyFill="1" applyBorder="1" applyAlignment="1">
      <alignment horizontal="center"/>
    </xf>
    <xf numFmtId="167" fontId="4" fillId="30" borderId="22" xfId="0" applyNumberFormat="1" applyFont="1" applyFill="1" applyBorder="1" applyAlignment="1">
      <alignment horizontal="right" vertical="center" wrapText="1"/>
    </xf>
    <xf numFmtId="164" fontId="7" fillId="26" borderId="84" xfId="0" applyNumberFormat="1" applyFont="1" applyFill="1" applyBorder="1" applyAlignment="1">
      <alignment horizontal="center" vertical="top" wrapText="1"/>
    </xf>
    <xf numFmtId="166" fontId="11" fillId="0" borderId="44" xfId="0" applyNumberFormat="1" applyFont="1" applyFill="1" applyBorder="1" applyAlignment="1">
      <alignment horizontal="right" vertical="top" wrapText="1"/>
    </xf>
    <xf numFmtId="164" fontId="4" fillId="30" borderId="52" xfId="0" applyNumberFormat="1" applyFont="1" applyFill="1" applyBorder="1"/>
    <xf numFmtId="164" fontId="4" fillId="30" borderId="59" xfId="0" applyNumberFormat="1" applyFont="1" applyFill="1" applyBorder="1"/>
    <xf numFmtId="164" fontId="4" fillId="33" borderId="22" xfId="0" applyNumberFormat="1" applyFont="1" applyFill="1" applyBorder="1" applyAlignment="1">
      <alignment horizontal="right" vertical="center" wrapText="1"/>
    </xf>
    <xf numFmtId="167" fontId="4" fillId="33" borderId="38" xfId="0" applyNumberFormat="1" applyFont="1" applyFill="1" applyBorder="1" applyAlignment="1">
      <alignment horizontal="center" vertical="top" wrapText="1"/>
    </xf>
    <xf numFmtId="171" fontId="4" fillId="0" borderId="0" xfId="0" applyNumberFormat="1" applyFont="1" applyFill="1" applyAlignment="1">
      <alignment horizontal="center" wrapText="1"/>
    </xf>
    <xf numFmtId="0" fontId="0" fillId="0" borderId="0" xfId="0" applyFill="1"/>
    <xf numFmtId="0" fontId="36" fillId="32" borderId="0" xfId="0" applyFont="1" applyFill="1"/>
    <xf numFmtId="0" fontId="41" fillId="32" borderId="0" xfId="0" applyFont="1" applyFill="1"/>
    <xf numFmtId="167" fontId="4" fillId="32" borderId="26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6" fillId="0" borderId="85" xfId="0" applyFont="1" applyBorder="1"/>
    <xf numFmtId="167" fontId="4" fillId="32" borderId="39" xfId="0" applyNumberFormat="1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horizontal="center" vertical="top" wrapText="1"/>
    </xf>
    <xf numFmtId="0" fontId="0" fillId="32" borderId="0" xfId="0" applyFill="1"/>
    <xf numFmtId="164" fontId="4" fillId="26" borderId="28" xfId="47" applyNumberFormat="1" applyFont="1" applyFill="1" applyBorder="1" applyAlignment="1">
      <alignment horizontal="center" vertical="top" wrapText="1"/>
    </xf>
    <xf numFmtId="0" fontId="4" fillId="0" borderId="86" xfId="0" applyFont="1" applyFill="1" applyBorder="1" applyAlignment="1">
      <alignment horizontal="center" vertical="top" wrapText="1"/>
    </xf>
    <xf numFmtId="166" fontId="4" fillId="0" borderId="16" xfId="30" applyNumberFormat="1" applyFont="1" applyBorder="1"/>
    <xf numFmtId="166" fontId="6" fillId="0" borderId="16" xfId="30" applyNumberFormat="1" applyFont="1" applyBorder="1"/>
    <xf numFmtId="166" fontId="6" fillId="0" borderId="38" xfId="30" applyNumberFormat="1" applyFont="1" applyBorder="1"/>
    <xf numFmtId="0" fontId="6" fillId="0" borderId="75" xfId="0" applyFont="1" applyBorder="1"/>
    <xf numFmtId="166" fontId="4" fillId="0" borderId="41" xfId="30" applyNumberFormat="1" applyFont="1" applyBorder="1"/>
    <xf numFmtId="167" fontId="42" fillId="28" borderId="61" xfId="45" applyNumberFormat="1" applyFont="1" applyFill="1" applyBorder="1" applyAlignment="1">
      <alignment horizontal="center" vertical="top" wrapText="1"/>
    </xf>
    <xf numFmtId="167" fontId="42" fillId="28" borderId="64" xfId="45" applyNumberFormat="1" applyFont="1" applyFill="1" applyBorder="1" applyAlignment="1">
      <alignment horizontal="center" vertical="top" wrapText="1"/>
    </xf>
    <xf numFmtId="167" fontId="42" fillId="28" borderId="51" xfId="45" applyNumberFormat="1" applyFont="1" applyFill="1" applyBorder="1" applyAlignment="1">
      <alignment horizontal="center" vertical="top" wrapText="1"/>
    </xf>
    <xf numFmtId="167" fontId="41" fillId="28" borderId="67" xfId="45" applyNumberFormat="1" applyFont="1" applyFill="1" applyBorder="1"/>
    <xf numFmtId="167" fontId="41" fillId="28" borderId="52" xfId="45" applyNumberFormat="1" applyFont="1" applyFill="1" applyBorder="1"/>
    <xf numFmtId="167" fontId="6" fillId="29" borderId="52" xfId="45" applyNumberFormat="1" applyFont="1" applyFill="1" applyBorder="1"/>
    <xf numFmtId="167" fontId="6" fillId="34" borderId="52" xfId="45" applyNumberFormat="1" applyFont="1" applyFill="1" applyBorder="1"/>
    <xf numFmtId="167" fontId="36" fillId="28" borderId="52" xfId="45" applyNumberFormat="1" applyFont="1" applyFill="1" applyBorder="1"/>
    <xf numFmtId="0" fontId="4" fillId="0" borderId="56" xfId="45" applyFont="1" applyBorder="1" applyAlignment="1">
      <alignment wrapText="1"/>
    </xf>
    <xf numFmtId="166" fontId="6" fillId="28" borderId="52" xfId="45" applyNumberFormat="1" applyFont="1" applyFill="1" applyBorder="1"/>
    <xf numFmtId="166" fontId="41" fillId="28" borderId="52" xfId="45" applyNumberFormat="1" applyFont="1" applyFill="1" applyBorder="1"/>
    <xf numFmtId="167" fontId="36" fillId="28" borderId="51" xfId="45" applyNumberFormat="1" applyFont="1" applyFill="1" applyBorder="1"/>
    <xf numFmtId="166" fontId="44" fillId="28" borderId="87" xfId="0" applyNumberFormat="1" applyFont="1" applyFill="1" applyBorder="1"/>
    <xf numFmtId="166" fontId="45" fillId="28" borderId="87" xfId="0" applyNumberFormat="1" applyFont="1" applyFill="1" applyBorder="1"/>
    <xf numFmtId="166" fontId="44" fillId="0" borderId="87" xfId="0" applyNumberFormat="1" applyFont="1" applyBorder="1"/>
    <xf numFmtId="166" fontId="45" fillId="28" borderId="64" xfId="0" applyNumberFormat="1" applyFont="1" applyFill="1" applyBorder="1"/>
    <xf numFmtId="167" fontId="41" fillId="28" borderId="51" xfId="45" applyNumberFormat="1" applyFont="1" applyFill="1" applyBorder="1"/>
    <xf numFmtId="166" fontId="4" fillId="0" borderId="12" xfId="30" applyNumberFormat="1" applyFont="1" applyFill="1" applyBorder="1"/>
    <xf numFmtId="166" fontId="4" fillId="0" borderId="70" xfId="30" applyNumberFormat="1" applyFont="1" applyFill="1" applyBorder="1"/>
    <xf numFmtId="164" fontId="4" fillId="0" borderId="70" xfId="33" applyNumberFormat="1" applyFont="1" applyFill="1" applyBorder="1"/>
    <xf numFmtId="166" fontId="6" fillId="0" borderId="12" xfId="30" applyNumberFormat="1" applyFont="1" applyFill="1" applyBorder="1"/>
    <xf numFmtId="166" fontId="6" fillId="0" borderId="70" xfId="30" applyNumberFormat="1" applyFont="1" applyFill="1" applyBorder="1"/>
    <xf numFmtId="164" fontId="6" fillId="0" borderId="70" xfId="33" applyNumberFormat="1" applyFont="1" applyFill="1" applyBorder="1"/>
    <xf numFmtId="166" fontId="6" fillId="0" borderId="24" xfId="30" applyNumberFormat="1" applyFont="1" applyFill="1" applyBorder="1"/>
    <xf numFmtId="166" fontId="6" fillId="0" borderId="83" xfId="30" applyNumberFormat="1" applyFont="1" applyFill="1" applyBorder="1"/>
    <xf numFmtId="164" fontId="6" fillId="0" borderId="83" xfId="33" applyNumberFormat="1" applyFont="1" applyFill="1" applyBorder="1"/>
    <xf numFmtId="166" fontId="4" fillId="0" borderId="37" xfId="0" applyNumberFormat="1" applyFont="1" applyFill="1" applyBorder="1" applyAlignment="1">
      <alignment horizontal="right" wrapText="1"/>
    </xf>
    <xf numFmtId="164" fontId="4" fillId="0" borderId="37" xfId="0" applyNumberFormat="1" applyFont="1" applyFill="1" applyBorder="1" applyAlignment="1">
      <alignment horizontal="right" vertical="top" wrapText="1"/>
    </xf>
    <xf numFmtId="0" fontId="4" fillId="0" borderId="88" xfId="46" applyFont="1" applyFill="1" applyBorder="1" applyAlignment="1">
      <alignment vertical="center"/>
    </xf>
    <xf numFmtId="166" fontId="4" fillId="0" borderId="37" xfId="46" applyNumberFormat="1" applyFont="1" applyFill="1" applyBorder="1" applyAlignment="1">
      <alignment vertical="center"/>
    </xf>
    <xf numFmtId="0" fontId="4" fillId="0" borderId="87" xfId="46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164" fontId="4" fillId="0" borderId="9" xfId="33" applyNumberFormat="1" applyFont="1" applyBorder="1"/>
    <xf numFmtId="166" fontId="4" fillId="0" borderId="46" xfId="30" applyNumberFormat="1" applyFont="1" applyBorder="1"/>
    <xf numFmtId="167" fontId="4" fillId="0" borderId="89" xfId="0" applyNumberFormat="1" applyFont="1" applyFill="1" applyBorder="1" applyAlignment="1">
      <alignment horizontal="right" vertical="center" wrapText="1"/>
    </xf>
    <xf numFmtId="165" fontId="4" fillId="33" borderId="13" xfId="0" applyNumberFormat="1" applyFont="1" applyFill="1" applyBorder="1" applyAlignment="1">
      <alignment horizontal="center" vertical="center"/>
    </xf>
    <xf numFmtId="165" fontId="4" fillId="33" borderId="40" xfId="0" applyNumberFormat="1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70" fontId="4" fillId="0" borderId="12" xfId="30" applyNumberFormat="1" applyFont="1" applyFill="1" applyBorder="1"/>
    <xf numFmtId="164" fontId="6" fillId="0" borderId="12" xfId="30" applyNumberFormat="1" applyFont="1" applyFill="1" applyBorder="1"/>
    <xf numFmtId="164" fontId="4" fillId="0" borderId="12" xfId="30" applyNumberFormat="1" applyFont="1" applyFill="1" applyBorder="1"/>
    <xf numFmtId="164" fontId="6" fillId="0" borderId="12" xfId="30" applyNumberFormat="1" applyFont="1" applyBorder="1"/>
    <xf numFmtId="164" fontId="4" fillId="0" borderId="12" xfId="30" applyNumberFormat="1" applyFont="1" applyBorder="1"/>
    <xf numFmtId="164" fontId="4" fillId="0" borderId="19" xfId="30" applyNumberFormat="1" applyFont="1" applyBorder="1"/>
    <xf numFmtId="1" fontId="4" fillId="33" borderId="13" xfId="0" applyNumberFormat="1" applyFont="1" applyFill="1" applyBorder="1" applyAlignment="1">
      <alignment horizontal="center" vertical="center"/>
    </xf>
    <xf numFmtId="166" fontId="6" fillId="29" borderId="52" xfId="45" applyNumberFormat="1" applyFont="1" applyFill="1" applyBorder="1"/>
    <xf numFmtId="164" fontId="4" fillId="29" borderId="16" xfId="0" applyNumberFormat="1" applyFont="1" applyFill="1" applyBorder="1" applyAlignment="1">
      <alignment vertical="top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26" borderId="34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170" fontId="4" fillId="0" borderId="71" xfId="30" applyNumberFormat="1" applyFont="1" applyFill="1" applyBorder="1"/>
    <xf numFmtId="164" fontId="6" fillId="0" borderId="71" xfId="30" applyNumberFormat="1" applyFont="1" applyFill="1" applyBorder="1"/>
    <xf numFmtId="164" fontId="4" fillId="0" borderId="71" xfId="30" applyNumberFormat="1" applyFont="1" applyFill="1" applyBorder="1"/>
    <xf numFmtId="164" fontId="6" fillId="0" borderId="71" xfId="30" applyNumberFormat="1" applyFont="1" applyBorder="1"/>
    <xf numFmtId="164" fontId="4" fillId="0" borderId="89" xfId="30" applyNumberFormat="1" applyFont="1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33" borderId="39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5" borderId="75" xfId="0" applyFont="1" applyFill="1" applyBorder="1" applyAlignment="1">
      <alignment horizontal="center" vertical="top" wrapText="1"/>
    </xf>
    <xf numFmtId="167" fontId="4" fillId="29" borderId="90" xfId="45" applyNumberFormat="1" applyFont="1" applyFill="1" applyBorder="1"/>
    <xf numFmtId="167" fontId="4" fillId="0" borderId="68" xfId="45" applyNumberFormat="1" applyFont="1" applyBorder="1"/>
    <xf numFmtId="167" fontId="4" fillId="35" borderId="52" xfId="45" applyNumberFormat="1" applyFont="1" applyFill="1" applyBorder="1"/>
    <xf numFmtId="167" fontId="36" fillId="35" borderId="52" xfId="45" applyNumberFormat="1" applyFont="1" applyFill="1" applyBorder="1"/>
    <xf numFmtId="167" fontId="4" fillId="35" borderId="82" xfId="45" applyNumberFormat="1" applyFont="1" applyFill="1" applyBorder="1"/>
    <xf numFmtId="167" fontId="36" fillId="35" borderId="82" xfId="45" applyNumberFormat="1" applyFont="1" applyFill="1" applyBorder="1"/>
    <xf numFmtId="0" fontId="41" fillId="0" borderId="0" xfId="0" applyFont="1"/>
    <xf numFmtId="167" fontId="6" fillId="0" borderId="52" xfId="45" applyNumberFormat="1" applyFont="1" applyFill="1" applyBorder="1"/>
    <xf numFmtId="0" fontId="4" fillId="0" borderId="56" xfId="45" applyFont="1" applyFill="1" applyBorder="1"/>
    <xf numFmtId="167" fontId="43" fillId="0" borderId="16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/>
    </xf>
    <xf numFmtId="167" fontId="4" fillId="33" borderId="16" xfId="0" applyNumberFormat="1" applyFont="1" applyFill="1" applyBorder="1" applyAlignment="1">
      <alignment horizontal="right" vertical="center" wrapText="1"/>
    </xf>
    <xf numFmtId="167" fontId="4" fillId="33" borderId="41" xfId="0" applyNumberFormat="1" applyFont="1" applyFill="1" applyBorder="1" applyAlignment="1">
      <alignment horizontal="right" vertical="center" wrapText="1"/>
    </xf>
    <xf numFmtId="165" fontId="4" fillId="0" borderId="21" xfId="0" applyNumberFormat="1" applyFont="1" applyFill="1" applyBorder="1" applyAlignment="1">
      <alignment horizontal="center"/>
    </xf>
    <xf numFmtId="165" fontId="6" fillId="0" borderId="0" xfId="0" applyNumberFormat="1" applyFont="1" applyFill="1"/>
    <xf numFmtId="164" fontId="48" fillId="0" borderId="18" xfId="0" applyNumberFormat="1" applyFont="1" applyFill="1" applyBorder="1" applyAlignment="1">
      <alignment vertical="top" wrapText="1"/>
    </xf>
    <xf numFmtId="0" fontId="4" fillId="32" borderId="25" xfId="0" applyFont="1" applyFill="1" applyBorder="1" applyAlignment="1">
      <alignment horizontal="center" vertical="top" textRotation="180" wrapText="1"/>
    </xf>
    <xf numFmtId="164" fontId="4" fillId="26" borderId="28" xfId="0" applyNumberFormat="1" applyFont="1" applyFill="1" applyBorder="1" applyAlignment="1">
      <alignment horizontal="center" vertical="top" textRotation="180" wrapText="1"/>
    </xf>
    <xf numFmtId="10" fontId="7" fillId="0" borderId="26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7" fillId="0" borderId="72" xfId="0" applyNumberFormat="1" applyFont="1" applyFill="1" applyBorder="1" applyAlignment="1">
      <alignment horizontal="center"/>
    </xf>
    <xf numFmtId="0" fontId="2" fillId="0" borderId="0" xfId="0" applyFont="1" applyFill="1"/>
    <xf numFmtId="16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70" xfId="0" applyNumberFormat="1" applyFont="1" applyFill="1" applyBorder="1" applyAlignment="1">
      <alignment horizontal="center" wrapText="1"/>
    </xf>
    <xf numFmtId="172" fontId="7" fillId="0" borderId="72" xfId="0" applyNumberFormat="1" applyFont="1" applyFill="1" applyBorder="1" applyAlignment="1">
      <alignment horizontal="center"/>
    </xf>
    <xf numFmtId="166" fontId="4" fillId="0" borderId="70" xfId="47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 wrapText="1"/>
    </xf>
    <xf numFmtId="164" fontId="4" fillId="0" borderId="83" xfId="0" applyNumberFormat="1" applyFont="1" applyFill="1" applyBorder="1" applyAlignment="1">
      <alignment horizontal="right" vertical="center" wrapText="1"/>
    </xf>
    <xf numFmtId="164" fontId="4" fillId="0" borderId="70" xfId="0" applyNumberFormat="1" applyFont="1" applyFill="1" applyBorder="1" applyAlignment="1">
      <alignment horizontal="right" vertical="center" wrapText="1"/>
    </xf>
    <xf numFmtId="164" fontId="4" fillId="0" borderId="71" xfId="0" applyNumberFormat="1" applyFont="1" applyFill="1" applyBorder="1" applyAlignment="1">
      <alignment vertical="top"/>
    </xf>
    <xf numFmtId="164" fontId="4" fillId="0" borderId="0" xfId="0" applyNumberFormat="1" applyFont="1" applyFill="1"/>
    <xf numFmtId="166" fontId="4" fillId="0" borderId="0" xfId="59" applyNumberFormat="1" applyFont="1" applyFill="1"/>
    <xf numFmtId="172" fontId="4" fillId="0" borderId="0" xfId="59" applyNumberFormat="1" applyFont="1" applyFill="1"/>
    <xf numFmtId="164" fontId="6" fillId="0" borderId="10" xfId="0" applyNumberFormat="1" applyFont="1" applyFill="1" applyBorder="1" applyAlignment="1">
      <alignment vertical="top"/>
    </xf>
    <xf numFmtId="172" fontId="6" fillId="0" borderId="0" xfId="59" applyNumberFormat="1" applyFont="1" applyFill="1"/>
    <xf numFmtId="164" fontId="4" fillId="0" borderId="17" xfId="0" applyNumberFormat="1" applyFont="1" applyFill="1" applyBorder="1" applyAlignment="1">
      <alignment vertical="top"/>
    </xf>
    <xf numFmtId="166" fontId="4" fillId="0" borderId="91" xfId="47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horizontal="right" vertical="center" wrapText="1"/>
    </xf>
    <xf numFmtId="164" fontId="4" fillId="0" borderId="92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64" fontId="4" fillId="0" borderId="93" xfId="0" applyNumberFormat="1" applyFont="1" applyFill="1" applyBorder="1" applyAlignment="1">
      <alignment horizontal="center" wrapText="1"/>
    </xf>
    <xf numFmtId="164" fontId="4" fillId="0" borderId="94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6" xfId="0" applyFont="1" applyFill="1" applyBorder="1" applyAlignment="1">
      <alignment horizontal="center" vertical="top" wrapText="1"/>
    </xf>
    <xf numFmtId="164" fontId="6" fillId="0" borderId="81" xfId="30" applyNumberFormat="1" applyFont="1" applyBorder="1"/>
    <xf numFmtId="164" fontId="4" fillId="0" borderId="80" xfId="30" applyNumberFormat="1" applyFont="1" applyBorder="1"/>
    <xf numFmtId="170" fontId="4" fillId="0" borderId="70" xfId="30" applyNumberFormat="1" applyFont="1" applyFill="1" applyBorder="1"/>
    <xf numFmtId="164" fontId="6" fillId="0" borderId="70" xfId="30" applyNumberFormat="1" applyFont="1" applyFill="1" applyBorder="1"/>
    <xf numFmtId="164" fontId="4" fillId="0" borderId="70" xfId="30" applyNumberFormat="1" applyFont="1" applyFill="1" applyBorder="1"/>
    <xf numFmtId="164" fontId="6" fillId="0" borderId="70" xfId="30" applyNumberFormat="1" applyFont="1" applyBorder="1"/>
    <xf numFmtId="164" fontId="4" fillId="0" borderId="70" xfId="30" applyNumberFormat="1" applyFont="1" applyBorder="1"/>
    <xf numFmtId="164" fontId="4" fillId="0" borderId="97" xfId="30" applyNumberFormat="1" applyFont="1" applyBorder="1"/>
    <xf numFmtId="164" fontId="6" fillId="0" borderId="18" xfId="30" applyNumberFormat="1" applyFont="1" applyBorder="1"/>
    <xf numFmtId="0" fontId="4" fillId="0" borderId="21" xfId="0" applyFont="1" applyFill="1" applyBorder="1" applyAlignment="1">
      <alignment horizontal="center" vertical="top" wrapText="1"/>
    </xf>
    <xf numFmtId="164" fontId="6" fillId="0" borderId="77" xfId="30" applyNumberFormat="1" applyFont="1" applyBorder="1"/>
    <xf numFmtId="1" fontId="4" fillId="33" borderId="20" xfId="46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right" vertical="center"/>
    </xf>
    <xf numFmtId="164" fontId="4" fillId="26" borderId="98" xfId="47" applyNumberFormat="1" applyFont="1" applyFill="1" applyBorder="1" applyAlignment="1">
      <alignment horizontal="center" vertical="top" wrapText="1"/>
    </xf>
    <xf numFmtId="0" fontId="4" fillId="0" borderId="91" xfId="0" applyFont="1" applyFill="1" applyBorder="1" applyAlignment="1">
      <alignment horizontal="center" vertical="top" wrapText="1"/>
    </xf>
    <xf numFmtId="164" fontId="4" fillId="0" borderId="91" xfId="33" applyNumberFormat="1" applyFont="1" applyFill="1" applyBorder="1"/>
    <xf numFmtId="164" fontId="6" fillId="0" borderId="91" xfId="33" applyNumberFormat="1" applyFont="1" applyFill="1" applyBorder="1"/>
    <xf numFmtId="164" fontId="6" fillId="0" borderId="93" xfId="33" applyNumberFormat="1" applyFont="1" applyFill="1" applyBorder="1"/>
    <xf numFmtId="164" fontId="4" fillId="0" borderId="91" xfId="33" applyNumberFormat="1" applyFont="1" applyBorder="1"/>
    <xf numFmtId="164" fontId="6" fillId="0" borderId="91" xfId="33" applyNumberFormat="1" applyFont="1" applyBorder="1"/>
    <xf numFmtId="164" fontId="4" fillId="0" borderId="0" xfId="33" applyNumberFormat="1" applyFont="1" applyBorder="1"/>
    <xf numFmtId="164" fontId="6" fillId="0" borderId="99" xfId="0" applyNumberFormat="1" applyFont="1" applyBorder="1"/>
  </cellXfs>
  <cellStyles count="60">
    <cellStyle name="0,0_x000d__x000a_NA_x000d__x000a_" xfId="1"/>
    <cellStyle name="0,0_x000d__x000a_NA_x000d__x000a_ 2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" xfId="30" builtinId="3"/>
    <cellStyle name="Comma 2" xfId="31"/>
    <cellStyle name="Comma 3" xfId="32"/>
    <cellStyle name="Comma 4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/>
    <cellStyle name="Normal 3" xfId="44"/>
    <cellStyle name="Normal_Depreciation allocation final" xfId="45"/>
    <cellStyle name="Normal_Table C GMS 2011-12 V1" xfId="46"/>
    <cellStyle name="Normal_Table C GMS 2011-12 V1 2" xfId="47"/>
    <cellStyle name="Note" xfId="48" builtinId="10" customBuiltin="1"/>
    <cellStyle name="Note 2" xfId="49"/>
    <cellStyle name="Output" xfId="50" builtinId="21" customBuiltin="1"/>
    <cellStyle name="Output Amounts" xfId="51"/>
    <cellStyle name="Output Column Headings" xfId="52"/>
    <cellStyle name="Output Line Items" xfId="53"/>
    <cellStyle name="Output Report Heading" xfId="54"/>
    <cellStyle name="Output Report Title" xfId="55"/>
    <cellStyle name="Percent" xfId="59" builtinId="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liots\Local%20Settings\Temporary%20Internet%20Files\OLK1\Table%20E%20allocation%202010-11%20V1%20(with%20detai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mist_Data workings"/>
      <sheetName val="HSW data 07-8 and 08-9"/>
      <sheetName val="HSW data -Pharmacies in Wale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499984740745262"/>
    <pageSetUpPr fitToPage="1"/>
  </sheetPr>
  <dimension ref="A1:B22"/>
  <sheetViews>
    <sheetView tabSelected="1" zoomScale="60" zoomScaleNormal="60" workbookViewId="0">
      <selection activeCell="A35" sqref="A35"/>
    </sheetView>
  </sheetViews>
  <sheetFormatPr defaultColWidth="8.84375" defaultRowHeight="15.5" x14ac:dyDescent="0.35"/>
  <cols>
    <col min="1" max="1" width="12.4609375" style="57" customWidth="1"/>
    <col min="2" max="2" width="97.765625" style="57" customWidth="1"/>
    <col min="3" max="16384" width="8.84375" style="62"/>
  </cols>
  <sheetData>
    <row r="1" spans="1:2" ht="20" x14ac:dyDescent="0.4">
      <c r="A1" s="81"/>
      <c r="B1" s="63" t="s">
        <v>6</v>
      </c>
    </row>
    <row r="2" spans="1:2" ht="16" thickBot="1" x14ac:dyDescent="0.4">
      <c r="A2" s="33"/>
      <c r="B2" s="33"/>
    </row>
    <row r="3" spans="1:2" ht="18.75" customHeight="1" thickBot="1" x14ac:dyDescent="0.4">
      <c r="A3" s="292"/>
      <c r="B3" s="293" t="s">
        <v>143</v>
      </c>
    </row>
    <row r="4" spans="1:2" ht="18.75" customHeight="1" thickBot="1" x14ac:dyDescent="0.4">
      <c r="A4" s="33"/>
      <c r="B4" s="33"/>
    </row>
    <row r="5" spans="1:2" ht="18.75" customHeight="1" x14ac:dyDescent="0.35">
      <c r="A5" s="86" t="s">
        <v>1</v>
      </c>
      <c r="B5" s="87" t="s">
        <v>110</v>
      </c>
    </row>
    <row r="6" spans="1:2" ht="18.75" customHeight="1" x14ac:dyDescent="0.35">
      <c r="A6" s="88" t="s">
        <v>2</v>
      </c>
      <c r="B6" s="89" t="s">
        <v>40</v>
      </c>
    </row>
    <row r="7" spans="1:2" ht="18.75" customHeight="1" thickBot="1" x14ac:dyDescent="0.4">
      <c r="A7" s="90" t="s">
        <v>105</v>
      </c>
      <c r="B7" s="91" t="s">
        <v>106</v>
      </c>
    </row>
    <row r="8" spans="1:2" ht="18.75" customHeight="1" thickBot="1" x14ac:dyDescent="0.4">
      <c r="A8" s="9"/>
      <c r="B8" s="9"/>
    </row>
    <row r="9" spans="1:2" ht="18.75" customHeight="1" x14ac:dyDescent="0.35">
      <c r="A9" s="86" t="s">
        <v>3</v>
      </c>
      <c r="B9" s="87" t="s">
        <v>26</v>
      </c>
    </row>
    <row r="10" spans="1:2" ht="18.75" customHeight="1" thickBot="1" x14ac:dyDescent="0.4">
      <c r="A10" s="90" t="s">
        <v>4</v>
      </c>
      <c r="B10" s="91" t="s">
        <v>27</v>
      </c>
    </row>
    <row r="11" spans="1:2" s="29" customFormat="1" ht="18.75" customHeight="1" thickBot="1" x14ac:dyDescent="0.4">
      <c r="A11" s="9"/>
      <c r="B11" s="8"/>
    </row>
    <row r="12" spans="1:2" ht="18.75" customHeight="1" x14ac:dyDescent="0.35">
      <c r="A12" s="86" t="s">
        <v>5</v>
      </c>
      <c r="B12" s="87" t="s">
        <v>14</v>
      </c>
    </row>
    <row r="13" spans="1:2" ht="18.75" customHeight="1" x14ac:dyDescent="0.35">
      <c r="A13" s="88" t="s">
        <v>9</v>
      </c>
      <c r="B13" s="89" t="s">
        <v>10</v>
      </c>
    </row>
    <row r="14" spans="1:2" ht="18.75" customHeight="1" thickBot="1" x14ac:dyDescent="0.4">
      <c r="A14" s="90" t="s">
        <v>12</v>
      </c>
      <c r="B14" s="91" t="s">
        <v>11</v>
      </c>
    </row>
    <row r="15" spans="1:2" s="29" customFormat="1" ht="18.75" customHeight="1" thickBot="1" x14ac:dyDescent="0.4">
      <c r="A15" s="9"/>
      <c r="B15" s="9"/>
    </row>
    <row r="16" spans="1:2" ht="18.75" customHeight="1" x14ac:dyDescent="0.35">
      <c r="A16" s="86" t="s">
        <v>16</v>
      </c>
      <c r="B16" s="87" t="s">
        <v>18</v>
      </c>
    </row>
    <row r="17" spans="1:2" ht="18.75" customHeight="1" x14ac:dyDescent="0.35">
      <c r="A17" s="88" t="s">
        <v>17</v>
      </c>
      <c r="B17" s="89" t="s">
        <v>28</v>
      </c>
    </row>
    <row r="18" spans="1:2" ht="18.75" customHeight="1" x14ac:dyDescent="0.35">
      <c r="A18" s="88" t="s">
        <v>55</v>
      </c>
      <c r="B18" s="89" t="s">
        <v>56</v>
      </c>
    </row>
    <row r="19" spans="1:2" ht="18.75" customHeight="1" x14ac:dyDescent="0.35">
      <c r="A19" s="88" t="s">
        <v>87</v>
      </c>
      <c r="B19" s="89" t="s">
        <v>85</v>
      </c>
    </row>
    <row r="20" spans="1:2" ht="18.75" customHeight="1" thickBot="1" x14ac:dyDescent="0.4">
      <c r="A20" s="90" t="s">
        <v>134</v>
      </c>
      <c r="B20" s="91" t="s">
        <v>135</v>
      </c>
    </row>
    <row r="21" spans="1:2" ht="16" thickBot="1" x14ac:dyDescent="0.4"/>
    <row r="22" spans="1:2" ht="16" thickBot="1" x14ac:dyDescent="0.4">
      <c r="A22" s="292"/>
      <c r="B22" s="293" t="s">
        <v>218</v>
      </c>
    </row>
  </sheetData>
  <phoneticPr fontId="12" type="noConversion"/>
  <printOptions horizontalCentered="1"/>
  <pageMargins left="0.77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23"/>
  <sheetViews>
    <sheetView zoomScale="65" zoomScaleNormal="75" workbookViewId="0">
      <selection activeCell="F30" sqref="F30"/>
    </sheetView>
  </sheetViews>
  <sheetFormatPr defaultColWidth="8.84375" defaultRowHeight="15.5" x14ac:dyDescent="0.35"/>
  <cols>
    <col min="1" max="1" width="42" style="62" customWidth="1"/>
    <col min="2" max="3" width="13.23046875" style="62" customWidth="1"/>
    <col min="4" max="5" width="13.07421875" style="62" customWidth="1"/>
    <col min="6" max="6" width="15.23046875" style="62" customWidth="1"/>
    <col min="7" max="16384" width="8.84375" style="62"/>
  </cols>
  <sheetData>
    <row r="1" spans="1:6" x14ac:dyDescent="0.35">
      <c r="A1" s="57" t="s">
        <v>35</v>
      </c>
    </row>
    <row r="2" spans="1:6" ht="16" thickBot="1" x14ac:dyDescent="0.4"/>
    <row r="3" spans="1:6" x14ac:dyDescent="0.35">
      <c r="A3" s="276"/>
      <c r="B3" s="277">
        <v>1</v>
      </c>
      <c r="C3" s="326">
        <f>B3+1</f>
        <v>2</v>
      </c>
      <c r="D3" s="326">
        <f>C3+1</f>
        <v>3</v>
      </c>
      <c r="E3" s="326">
        <f t="shared" ref="E3:F3" si="0">D3+1</f>
        <v>4</v>
      </c>
      <c r="F3" s="326">
        <f t="shared" si="0"/>
        <v>5</v>
      </c>
    </row>
    <row r="4" spans="1:6" s="156" customFormat="1" ht="139.5" customHeight="1" thickBot="1" x14ac:dyDescent="0.4">
      <c r="A4" s="275"/>
      <c r="B4" s="267" t="s">
        <v>220</v>
      </c>
      <c r="C4" s="287" t="s">
        <v>301</v>
      </c>
      <c r="D4" s="287" t="s">
        <v>190</v>
      </c>
      <c r="E4" s="468" t="s">
        <v>321</v>
      </c>
      <c r="F4" s="333" t="s">
        <v>237</v>
      </c>
    </row>
    <row r="5" spans="1:6" s="156" customFormat="1" ht="16.5" customHeight="1" x14ac:dyDescent="0.35">
      <c r="A5" s="157"/>
      <c r="B5" s="288" t="s">
        <v>15</v>
      </c>
      <c r="C5" s="266" t="s">
        <v>15</v>
      </c>
      <c r="D5" s="266" t="s">
        <v>15</v>
      </c>
      <c r="E5" s="266" t="s">
        <v>15</v>
      </c>
      <c r="F5" s="334" t="s">
        <v>15</v>
      </c>
    </row>
    <row r="6" spans="1:6" s="156" customFormat="1" ht="16.5" customHeight="1" x14ac:dyDescent="0.35">
      <c r="A6" s="161"/>
      <c r="B6" s="264"/>
      <c r="C6" s="286"/>
      <c r="D6" s="286"/>
      <c r="E6" s="469"/>
      <c r="F6" s="192"/>
    </row>
    <row r="7" spans="1:6" ht="16.5" customHeight="1" x14ac:dyDescent="0.35">
      <c r="A7" s="2" t="s">
        <v>20</v>
      </c>
      <c r="B7" s="357">
        <v>29.489055999999998</v>
      </c>
      <c r="C7" s="358">
        <v>-2.1999999999999999E-2</v>
      </c>
      <c r="D7" s="359">
        <v>1.099</v>
      </c>
      <c r="E7" s="470">
        <v>0.375</v>
      </c>
      <c r="F7" s="335">
        <f>SUM(B7:E7)</f>
        <v>30.941056</v>
      </c>
    </row>
    <row r="8" spans="1:6" ht="13.5" customHeight="1" x14ac:dyDescent="0.35">
      <c r="A8" s="2"/>
      <c r="B8" s="360"/>
      <c r="C8" s="361"/>
      <c r="D8" s="362"/>
      <c r="E8" s="471"/>
      <c r="F8" s="336"/>
    </row>
    <row r="9" spans="1:6" ht="13.5" customHeight="1" x14ac:dyDescent="0.35">
      <c r="A9" s="2" t="s">
        <v>29</v>
      </c>
      <c r="B9" s="357">
        <v>28.264699999999998</v>
      </c>
      <c r="C9" s="358"/>
      <c r="D9" s="359">
        <v>1.077</v>
      </c>
      <c r="E9" s="470">
        <v>0.44500000000000001</v>
      </c>
      <c r="F9" s="335">
        <f>SUM(B9:E9)</f>
        <v>29.786699999999996</v>
      </c>
    </row>
    <row r="10" spans="1:6" ht="13.5" customHeight="1" x14ac:dyDescent="0.35">
      <c r="A10" s="1"/>
      <c r="B10" s="363"/>
      <c r="C10" s="364"/>
      <c r="D10" s="365"/>
      <c r="E10" s="472"/>
      <c r="F10" s="337"/>
    </row>
    <row r="11" spans="1:6" ht="16.5" customHeight="1" x14ac:dyDescent="0.35">
      <c r="A11" s="2" t="s">
        <v>21</v>
      </c>
      <c r="B11" s="357">
        <v>26.323</v>
      </c>
      <c r="C11" s="358"/>
      <c r="D11" s="359">
        <v>0.96199999999999997</v>
      </c>
      <c r="E11" s="470">
        <v>0.32</v>
      </c>
      <c r="F11" s="335">
        <f>SUM(B11:E11)</f>
        <v>27.605</v>
      </c>
    </row>
    <row r="12" spans="1:6" ht="13.5" customHeight="1" x14ac:dyDescent="0.35">
      <c r="A12" s="2"/>
      <c r="B12" s="360"/>
      <c r="C12" s="361"/>
      <c r="D12" s="362"/>
      <c r="E12" s="471"/>
      <c r="F12" s="336"/>
    </row>
    <row r="13" spans="1:6" ht="18" customHeight="1" x14ac:dyDescent="0.35">
      <c r="A13" s="2" t="s">
        <v>185</v>
      </c>
      <c r="B13" s="357">
        <v>21.127640244454394</v>
      </c>
      <c r="C13" s="358"/>
      <c r="D13" s="359">
        <v>0.81599999999999995</v>
      </c>
      <c r="E13" s="470">
        <v>0.28499999999999998</v>
      </c>
      <c r="F13" s="335">
        <f>SUM(B13:E13)</f>
        <v>22.228640244454393</v>
      </c>
    </row>
    <row r="14" spans="1:6" ht="13.5" customHeight="1" x14ac:dyDescent="0.35">
      <c r="A14" s="2"/>
      <c r="B14" s="360"/>
      <c r="C14" s="361"/>
      <c r="D14" s="362"/>
      <c r="E14" s="471"/>
      <c r="F14" s="336"/>
    </row>
    <row r="15" spans="1:6" ht="16.5" customHeight="1" x14ac:dyDescent="0.35">
      <c r="A15" s="2" t="s">
        <v>23</v>
      </c>
      <c r="B15" s="253">
        <v>17.852599999999999</v>
      </c>
      <c r="C15" s="251"/>
      <c r="D15" s="304">
        <v>0.63700000000000001</v>
      </c>
      <c r="E15" s="473">
        <v>0.245</v>
      </c>
      <c r="F15" s="335">
        <f>SUM(B15:E15)</f>
        <v>18.7346</v>
      </c>
    </row>
    <row r="16" spans="1:6" ht="13.5" customHeight="1" x14ac:dyDescent="0.35">
      <c r="A16" s="1"/>
      <c r="B16" s="254"/>
      <c r="C16" s="252"/>
      <c r="D16" s="305"/>
      <c r="E16" s="474"/>
      <c r="F16" s="336"/>
    </row>
    <row r="17" spans="1:6" s="57" customFormat="1" ht="18.75" customHeight="1" x14ac:dyDescent="0.35">
      <c r="A17" s="204" t="s">
        <v>22</v>
      </c>
      <c r="B17" s="253">
        <v>6.4135000000000009</v>
      </c>
      <c r="C17" s="251"/>
      <c r="D17" s="304">
        <v>0.246</v>
      </c>
      <c r="E17" s="473">
        <v>8.5000000000000006E-2</v>
      </c>
      <c r="F17" s="335">
        <f>SUM(B17:E17)</f>
        <v>6.7445000000000013</v>
      </c>
    </row>
    <row r="18" spans="1:6" s="57" customFormat="1" ht="14.25" customHeight="1" x14ac:dyDescent="0.35">
      <c r="A18" s="371"/>
      <c r="B18" s="253"/>
      <c r="C18" s="251"/>
      <c r="D18" s="372"/>
      <c r="E18" s="475"/>
      <c r="F18" s="373"/>
    </row>
    <row r="19" spans="1:6" ht="18" customHeight="1" x14ac:dyDescent="0.35">
      <c r="A19" s="2" t="s">
        <v>186</v>
      </c>
      <c r="B19" s="357">
        <v>21.476351755545615</v>
      </c>
      <c r="C19" s="358"/>
      <c r="D19" s="359">
        <v>0.77600000000000002</v>
      </c>
      <c r="E19" s="470">
        <v>0.245</v>
      </c>
      <c r="F19" s="335">
        <f>SUM(B19:E19)</f>
        <v>22.497351755545616</v>
      </c>
    </row>
    <row r="20" spans="1:6" ht="13.5" customHeight="1" thickBot="1" x14ac:dyDescent="0.4">
      <c r="A20" s="203"/>
      <c r="B20" s="255"/>
      <c r="C20" s="327"/>
      <c r="D20" s="306"/>
      <c r="E20" s="476"/>
      <c r="F20" s="338"/>
    </row>
    <row r="21" spans="1:6" s="57" customFormat="1" ht="16" thickBot="1" x14ac:dyDescent="0.4">
      <c r="A21" s="160" t="s">
        <v>0</v>
      </c>
      <c r="B21" s="265">
        <f t="shared" ref="B21:F21" si="1">SUM(B7:B19)</f>
        <v>150.94684799999999</v>
      </c>
      <c r="C21" s="265">
        <f t="shared" si="1"/>
        <v>-2.1999999999999999E-2</v>
      </c>
      <c r="D21" s="265">
        <f t="shared" si="1"/>
        <v>5.6129999999999995</v>
      </c>
      <c r="E21" s="265">
        <f t="shared" si="1"/>
        <v>2</v>
      </c>
      <c r="F21" s="339">
        <f t="shared" si="1"/>
        <v>158.537848</v>
      </c>
    </row>
    <row r="23" spans="1:6" x14ac:dyDescent="0.35">
      <c r="B23" s="282"/>
      <c r="C23" s="282"/>
      <c r="D23" s="282"/>
      <c r="E23" s="282"/>
    </row>
  </sheetData>
  <phoneticPr fontId="12" type="noConversion"/>
  <pageMargins left="0.2" right="0.28000000000000003" top="0.39370078740157483" bottom="0.47" header="0.31496062992125984" footer="0.3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99"/>
    <pageSetUpPr fitToPage="1"/>
  </sheetPr>
  <dimension ref="A1:L23"/>
  <sheetViews>
    <sheetView showGridLines="0" zoomScale="80" zoomScaleNormal="80" workbookViewId="0">
      <selection activeCell="M5" sqref="M5"/>
    </sheetView>
  </sheetViews>
  <sheetFormatPr defaultColWidth="8.84375" defaultRowHeight="15.5" x14ac:dyDescent="0.35"/>
  <cols>
    <col min="1" max="1" width="39.765625" style="18" customWidth="1"/>
    <col min="2" max="4" width="13.4609375" style="108" customWidth="1"/>
    <col min="5" max="16384" width="8.84375" style="18"/>
  </cols>
  <sheetData>
    <row r="1" spans="1:12" s="11" customFormat="1" x14ac:dyDescent="0.35">
      <c r="A1" s="33" t="s">
        <v>54</v>
      </c>
      <c r="B1" s="99"/>
      <c r="C1" s="99"/>
      <c r="D1" s="99"/>
    </row>
    <row r="2" spans="1:12" s="11" customFormat="1" ht="16" thickBot="1" x14ac:dyDescent="0.4">
      <c r="A2" s="12" t="s">
        <v>144</v>
      </c>
      <c r="B2" s="99"/>
      <c r="C2" s="99"/>
      <c r="D2" s="99"/>
    </row>
    <row r="3" spans="1:12" s="101" customFormat="1" ht="15" customHeight="1" x14ac:dyDescent="0.35">
      <c r="A3" s="13"/>
      <c r="B3" s="56">
        <v>1</v>
      </c>
      <c r="C3" s="56">
        <f>B3+1</f>
        <v>2</v>
      </c>
      <c r="D3" s="56">
        <f>C3+1</f>
        <v>3</v>
      </c>
      <c r="E3" s="100"/>
      <c r="F3" s="100"/>
      <c r="G3" s="100"/>
      <c r="H3" s="100"/>
      <c r="I3" s="100"/>
      <c r="J3" s="100"/>
      <c r="K3" s="100"/>
      <c r="L3" s="100"/>
    </row>
    <row r="4" spans="1:12" s="102" customFormat="1" ht="111" customHeight="1" x14ac:dyDescent="0.35">
      <c r="A4" s="134"/>
      <c r="B4" s="302" t="s">
        <v>201</v>
      </c>
      <c r="C4" s="302" t="s">
        <v>238</v>
      </c>
      <c r="D4" s="295" t="s">
        <v>239</v>
      </c>
    </row>
    <row r="5" spans="1:12" s="103" customFormat="1" ht="18.75" customHeight="1" x14ac:dyDescent="0.35">
      <c r="A5" s="71" t="s">
        <v>7</v>
      </c>
      <c r="B5" s="109" t="s">
        <v>15</v>
      </c>
      <c r="C5" s="109" t="s">
        <v>15</v>
      </c>
      <c r="D5" s="296" t="s">
        <v>15</v>
      </c>
    </row>
    <row r="6" spans="1:12" s="14" customFormat="1" x14ac:dyDescent="0.35">
      <c r="A6" s="104"/>
      <c r="B6" s="105"/>
      <c r="C6" s="105"/>
      <c r="D6" s="297"/>
    </row>
    <row r="7" spans="1:12" s="20" customFormat="1" x14ac:dyDescent="0.35">
      <c r="A7" s="2" t="s">
        <v>20</v>
      </c>
      <c r="B7" s="114">
        <v>2.9923700000000002</v>
      </c>
      <c r="C7" s="114">
        <v>0.192</v>
      </c>
      <c r="D7" s="298">
        <f>SUM(B7:C7)</f>
        <v>3.1843700000000004</v>
      </c>
    </row>
    <row r="8" spans="1:12" s="20" customFormat="1" x14ac:dyDescent="0.35">
      <c r="A8" s="2"/>
      <c r="B8" s="114"/>
      <c r="C8" s="114"/>
      <c r="D8" s="298"/>
    </row>
    <row r="9" spans="1:12" s="20" customFormat="1" x14ac:dyDescent="0.35">
      <c r="A9" s="2" t="s">
        <v>29</v>
      </c>
      <c r="B9" s="114">
        <v>5.7872900000000005</v>
      </c>
      <c r="C9" s="114">
        <v>0.223</v>
      </c>
      <c r="D9" s="298">
        <f>SUM(B9:C9)</f>
        <v>6.0102900000000004</v>
      </c>
    </row>
    <row r="10" spans="1:12" x14ac:dyDescent="0.35">
      <c r="A10" s="1"/>
      <c r="B10" s="106"/>
      <c r="C10" s="106"/>
      <c r="D10" s="299"/>
    </row>
    <row r="11" spans="1:12" x14ac:dyDescent="0.35">
      <c r="A11" s="2" t="s">
        <v>21</v>
      </c>
      <c r="B11" s="114">
        <v>2.6276000000000002</v>
      </c>
      <c r="C11" s="114">
        <v>0.13400000000000001</v>
      </c>
      <c r="D11" s="298">
        <f>SUM(B11:C11)</f>
        <v>2.7616000000000001</v>
      </c>
    </row>
    <row r="12" spans="1:12" x14ac:dyDescent="0.35">
      <c r="A12" s="2"/>
      <c r="B12" s="114"/>
      <c r="C12" s="114"/>
      <c r="D12" s="298"/>
    </row>
    <row r="13" spans="1:12" s="20" customFormat="1" x14ac:dyDescent="0.35">
      <c r="A13" s="2" t="s">
        <v>185</v>
      </c>
      <c r="B13" s="114">
        <v>3.7084700000000002</v>
      </c>
      <c r="C13" s="114">
        <v>0.152</v>
      </c>
      <c r="D13" s="298">
        <f>SUM(B13:C13)</f>
        <v>3.8604700000000003</v>
      </c>
    </row>
    <row r="14" spans="1:12" s="20" customFormat="1" x14ac:dyDescent="0.35">
      <c r="A14" s="2"/>
      <c r="B14" s="114"/>
      <c r="C14" s="114"/>
      <c r="D14" s="298"/>
    </row>
    <row r="15" spans="1:12" s="20" customFormat="1" x14ac:dyDescent="0.35">
      <c r="A15" s="2" t="s">
        <v>23</v>
      </c>
      <c r="B15" s="114">
        <v>2.1378040000000005</v>
      </c>
      <c r="C15" s="114">
        <v>0.126</v>
      </c>
      <c r="D15" s="298">
        <f>SUM(B15:C15)</f>
        <v>2.2638040000000004</v>
      </c>
    </row>
    <row r="16" spans="1:12" x14ac:dyDescent="0.35">
      <c r="A16" s="1"/>
      <c r="B16" s="106"/>
      <c r="C16" s="106"/>
      <c r="D16" s="299"/>
    </row>
    <row r="17" spans="1:4" x14ac:dyDescent="0.35">
      <c r="A17" s="113" t="s">
        <v>22</v>
      </c>
      <c r="B17" s="115">
        <v>0.62417000000000011</v>
      </c>
      <c r="C17" s="115">
        <v>4.2000000000000003E-2</v>
      </c>
      <c r="D17" s="298">
        <f>SUM(B17:C17)</f>
        <v>0.66617000000000015</v>
      </c>
    </row>
    <row r="18" spans="1:4" x14ac:dyDescent="0.35">
      <c r="A18" s="113"/>
      <c r="B18" s="115"/>
      <c r="C18" s="115"/>
      <c r="D18" s="374"/>
    </row>
    <row r="19" spans="1:4" s="20" customFormat="1" x14ac:dyDescent="0.35">
      <c r="A19" s="2" t="s">
        <v>186</v>
      </c>
      <c r="B19" s="114">
        <v>2.89629</v>
      </c>
      <c r="C19" s="114">
        <v>0.13100000000000001</v>
      </c>
      <c r="D19" s="298">
        <f>SUM(B19:C19)</f>
        <v>3.0272899999999998</v>
      </c>
    </row>
    <row r="20" spans="1:4" ht="16.5" customHeight="1" thickBot="1" x14ac:dyDescent="0.4">
      <c r="A20" s="149"/>
      <c r="B20" s="303"/>
      <c r="C20" s="303"/>
      <c r="D20" s="300"/>
    </row>
    <row r="21" spans="1:4" s="25" customFormat="1" ht="16" thickBot="1" x14ac:dyDescent="0.4">
      <c r="A21" s="107" t="s">
        <v>0</v>
      </c>
      <c r="B21" s="60">
        <f>B17+B15+B13+B11+B9+B7+B19</f>
        <v>20.773994000000002</v>
      </c>
      <c r="C21" s="60">
        <f>C17+C15+C13+C11+C9+C7+C19</f>
        <v>1</v>
      </c>
      <c r="D21" s="301">
        <f>D17+D15+D13+D11+D9+D7+D19</f>
        <v>21.773994000000002</v>
      </c>
    </row>
    <row r="23" spans="1:4" x14ac:dyDescent="0.35">
      <c r="B23" s="282"/>
    </row>
  </sheetData>
  <phoneticPr fontId="12" type="noConversion"/>
  <printOptions horizontalCentered="1"/>
  <pageMargins left="0.77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M24"/>
  <sheetViews>
    <sheetView zoomScale="70" workbookViewId="0">
      <selection activeCell="I7" sqref="I7"/>
    </sheetView>
  </sheetViews>
  <sheetFormatPr defaultRowHeight="15.5" x14ac:dyDescent="0.35"/>
  <cols>
    <col min="1" max="1" width="40.84375" customWidth="1"/>
    <col min="2" max="2" width="11.765625" customWidth="1"/>
    <col min="3" max="7" width="14.23046875" customWidth="1"/>
    <col min="8" max="8" width="13.765625" customWidth="1"/>
    <col min="9" max="9" width="14.765625" customWidth="1"/>
    <col min="10" max="12" width="11.765625" customWidth="1"/>
    <col min="13" max="13" width="12.765625" customWidth="1"/>
    <col min="14" max="14" width="11.765625" customWidth="1"/>
  </cols>
  <sheetData>
    <row r="1" spans="1:13" x14ac:dyDescent="0.35">
      <c r="A1" s="57" t="s">
        <v>166</v>
      </c>
    </row>
    <row r="2" spans="1:13" ht="16" thickBot="1" x14ac:dyDescent="0.4"/>
    <row r="3" spans="1:13" x14ac:dyDescent="0.35">
      <c r="A3" s="13"/>
      <c r="B3" s="56">
        <v>1</v>
      </c>
      <c r="C3" s="385">
        <f>B3+1</f>
        <v>2</v>
      </c>
      <c r="D3" s="385">
        <f t="shared" ref="D3:M3" si="0">C3+1</f>
        <v>3</v>
      </c>
      <c r="E3" s="385">
        <f t="shared" si="0"/>
        <v>4</v>
      </c>
      <c r="F3" s="385">
        <f t="shared" si="0"/>
        <v>5</v>
      </c>
      <c r="G3" s="385">
        <f t="shared" si="0"/>
        <v>6</v>
      </c>
      <c r="H3" s="385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385">
        <f t="shared" si="0"/>
        <v>12</v>
      </c>
    </row>
    <row r="4" spans="1:13" ht="87" customHeight="1" x14ac:dyDescent="0.35">
      <c r="A4" s="268"/>
      <c r="B4" s="269" t="s">
        <v>221</v>
      </c>
      <c r="C4" s="269" t="s">
        <v>273</v>
      </c>
      <c r="D4" s="269" t="s">
        <v>274</v>
      </c>
      <c r="E4" s="269" t="s">
        <v>299</v>
      </c>
      <c r="F4" s="269" t="s">
        <v>275</v>
      </c>
      <c r="G4" s="269" t="s">
        <v>300</v>
      </c>
      <c r="H4" s="269" t="s">
        <v>305</v>
      </c>
      <c r="I4" s="325" t="s">
        <v>240</v>
      </c>
      <c r="J4" s="269" t="s">
        <v>30</v>
      </c>
      <c r="K4" s="269" t="s">
        <v>31</v>
      </c>
      <c r="L4" s="269" t="s">
        <v>32</v>
      </c>
      <c r="M4" s="270" t="s">
        <v>241</v>
      </c>
    </row>
    <row r="5" spans="1:13" x14ac:dyDescent="0.35">
      <c r="A5" s="71" t="s">
        <v>7</v>
      </c>
      <c r="B5" s="227" t="s">
        <v>15</v>
      </c>
      <c r="C5" s="109" t="s">
        <v>15</v>
      </c>
      <c r="D5" s="109" t="s">
        <v>15</v>
      </c>
      <c r="E5" s="109" t="s">
        <v>15</v>
      </c>
      <c r="F5" s="109" t="s">
        <v>15</v>
      </c>
      <c r="G5" s="109" t="s">
        <v>15</v>
      </c>
      <c r="H5" s="109" t="s">
        <v>15</v>
      </c>
      <c r="I5" s="227" t="s">
        <v>15</v>
      </c>
      <c r="J5" s="109" t="s">
        <v>15</v>
      </c>
      <c r="K5" s="109" t="s">
        <v>15</v>
      </c>
      <c r="L5" s="109" t="s">
        <v>15</v>
      </c>
      <c r="M5" s="233" t="s">
        <v>15</v>
      </c>
    </row>
    <row r="6" spans="1:13" x14ac:dyDescent="0.35">
      <c r="A6" s="104"/>
      <c r="B6" s="228"/>
      <c r="C6" s="105"/>
      <c r="D6" s="105"/>
      <c r="E6" s="105"/>
      <c r="F6" s="105"/>
      <c r="G6" s="105"/>
      <c r="H6" s="105"/>
      <c r="I6" s="228"/>
      <c r="J6" s="105"/>
      <c r="K6" s="105"/>
      <c r="L6" s="105"/>
      <c r="M6" s="234"/>
    </row>
    <row r="7" spans="1:13" x14ac:dyDescent="0.35">
      <c r="A7" s="2" t="s">
        <v>20</v>
      </c>
      <c r="B7" s="229">
        <v>104.06829089999999</v>
      </c>
      <c r="C7" s="114"/>
      <c r="D7" s="114"/>
      <c r="E7" s="114">
        <v>1.319</v>
      </c>
      <c r="F7" s="114">
        <v>0.754</v>
      </c>
      <c r="G7" s="114">
        <v>0.67800000000000005</v>
      </c>
      <c r="H7" s="114">
        <v>3.7850000000000001</v>
      </c>
      <c r="I7" s="229">
        <f>SUM(B7:H7)</f>
        <v>110.6042909</v>
      </c>
      <c r="J7" s="114">
        <v>7.7569999999999997</v>
      </c>
      <c r="K7" s="114">
        <v>0.78400000000000003</v>
      </c>
      <c r="L7" s="114">
        <v>3.8740000000000001</v>
      </c>
      <c r="M7" s="235">
        <f>I7+J7+K7+L7</f>
        <v>123.0192909</v>
      </c>
    </row>
    <row r="8" spans="1:13" x14ac:dyDescent="0.35">
      <c r="A8" s="2"/>
      <c r="B8" s="229"/>
      <c r="C8" s="114"/>
      <c r="D8" s="114"/>
      <c r="E8" s="114"/>
      <c r="F8" s="114"/>
      <c r="G8" s="114"/>
      <c r="H8" s="114"/>
      <c r="I8" s="229"/>
      <c r="J8" s="114"/>
      <c r="K8" s="114"/>
      <c r="L8" s="114"/>
      <c r="M8" s="235"/>
    </row>
    <row r="9" spans="1:13" x14ac:dyDescent="0.35">
      <c r="A9" s="113" t="s">
        <v>107</v>
      </c>
      <c r="B9" s="229">
        <v>141.45258700000002</v>
      </c>
      <c r="C9" s="115">
        <v>0.34315699999999999</v>
      </c>
      <c r="D9" s="115"/>
      <c r="E9" s="115">
        <v>1.581</v>
      </c>
      <c r="F9" s="115">
        <v>0.90300000000000002</v>
      </c>
      <c r="G9" s="115">
        <v>0.81299999999999994</v>
      </c>
      <c r="H9" s="115">
        <v>4.4690000000000003</v>
      </c>
      <c r="I9" s="229">
        <f>SUM(B9:H9)</f>
        <v>149.56174399999998</v>
      </c>
      <c r="J9" s="115">
        <v>9.24</v>
      </c>
      <c r="K9" s="115">
        <v>1.2969999999999999</v>
      </c>
      <c r="L9" s="115">
        <v>5.5570000000000004</v>
      </c>
      <c r="M9" s="235">
        <f>I9+J9+K9+L9</f>
        <v>165.65574399999997</v>
      </c>
    </row>
    <row r="10" spans="1:13" x14ac:dyDescent="0.35">
      <c r="A10" s="2"/>
      <c r="B10" s="229"/>
      <c r="C10" s="114"/>
      <c r="D10" s="114"/>
      <c r="E10" s="114"/>
      <c r="F10" s="114"/>
      <c r="G10" s="114"/>
      <c r="H10" s="114"/>
      <c r="I10" s="229"/>
      <c r="J10" s="114"/>
      <c r="K10" s="114"/>
      <c r="L10" s="114"/>
      <c r="M10" s="235"/>
    </row>
    <row r="11" spans="1:13" x14ac:dyDescent="0.35">
      <c r="A11" s="2" t="s">
        <v>21</v>
      </c>
      <c r="B11" s="229">
        <v>105.89572259999998</v>
      </c>
      <c r="C11" s="114"/>
      <c r="D11" s="114">
        <v>0.23499999999999999</v>
      </c>
      <c r="E11" s="114">
        <v>0.93100000000000005</v>
      </c>
      <c r="F11" s="114">
        <v>0.53200000000000003</v>
      </c>
      <c r="G11" s="114">
        <v>0.47899999999999998</v>
      </c>
      <c r="H11" s="114">
        <v>2.9889999999999999</v>
      </c>
      <c r="I11" s="229">
        <f>SUM(B11:H11)</f>
        <v>111.06172259999998</v>
      </c>
      <c r="J11" s="114">
        <v>5.1769999999999996</v>
      </c>
      <c r="K11" s="114">
        <v>1.151</v>
      </c>
      <c r="L11" s="114">
        <v>3.173</v>
      </c>
      <c r="M11" s="235">
        <f>I11+J11+K11+L11</f>
        <v>120.56272259999999</v>
      </c>
    </row>
    <row r="12" spans="1:13" x14ac:dyDescent="0.35">
      <c r="A12" s="2"/>
      <c r="B12" s="230"/>
      <c r="C12" s="289"/>
      <c r="D12" s="289"/>
      <c r="E12" s="289"/>
      <c r="F12" s="289"/>
      <c r="G12" s="289"/>
      <c r="H12" s="289"/>
      <c r="I12" s="230"/>
      <c r="J12" s="114"/>
      <c r="K12" s="114"/>
      <c r="L12" s="114"/>
      <c r="M12" s="235"/>
    </row>
    <row r="13" spans="1:13" x14ac:dyDescent="0.35">
      <c r="A13" s="2" t="s">
        <v>185</v>
      </c>
      <c r="B13" s="229">
        <v>101.91846893796551</v>
      </c>
      <c r="C13" s="114"/>
      <c r="D13" s="114"/>
      <c r="E13" s="114">
        <v>0</v>
      </c>
      <c r="F13" s="114">
        <v>0.61399999999999999</v>
      </c>
      <c r="G13" s="114">
        <v>0.55300000000000005</v>
      </c>
      <c r="H13" s="114">
        <v>3</v>
      </c>
      <c r="I13" s="229">
        <f>SUM(B13:H13)</f>
        <v>106.08546893796552</v>
      </c>
      <c r="J13" s="114">
        <f>3.837+2.137</f>
        <v>5.9740000000000002</v>
      </c>
      <c r="K13" s="114">
        <f>0.691+0.533</f>
        <v>1.224</v>
      </c>
      <c r="L13" s="114">
        <f>2.063+0.937</f>
        <v>3</v>
      </c>
      <c r="M13" s="235">
        <f>I13+J13+K13+L13</f>
        <v>116.28346893796552</v>
      </c>
    </row>
    <row r="14" spans="1:13" x14ac:dyDescent="0.35">
      <c r="A14" s="1"/>
      <c r="B14" s="231"/>
      <c r="C14" s="106"/>
      <c r="D14" s="106"/>
      <c r="E14" s="106"/>
      <c r="F14" s="106"/>
      <c r="G14" s="106"/>
      <c r="H14" s="106"/>
      <c r="I14" s="231"/>
      <c r="J14" s="106"/>
      <c r="K14" s="106"/>
      <c r="L14" s="106"/>
      <c r="M14" s="236"/>
    </row>
    <row r="15" spans="1:13" x14ac:dyDescent="0.35">
      <c r="A15" s="2" t="s">
        <v>23</v>
      </c>
      <c r="B15" s="229">
        <v>82.275987299999969</v>
      </c>
      <c r="C15" s="114"/>
      <c r="D15" s="114"/>
      <c r="E15" s="114">
        <v>0.89500000000000002</v>
      </c>
      <c r="F15" s="114">
        <v>0.51200000000000001</v>
      </c>
      <c r="G15" s="114">
        <v>0.46</v>
      </c>
      <c r="H15" s="114">
        <v>2.4500000000000002</v>
      </c>
      <c r="I15" s="229">
        <f>SUM(B15:H15)</f>
        <v>86.592987299999962</v>
      </c>
      <c r="J15" s="114">
        <v>4.6749999999999998</v>
      </c>
      <c r="K15" s="114">
        <v>0.72</v>
      </c>
      <c r="L15" s="114">
        <v>2.4449999999999998</v>
      </c>
      <c r="M15" s="235">
        <f>I15+J15+K15+L15</f>
        <v>94.432987299999951</v>
      </c>
    </row>
    <row r="16" spans="1:13" x14ac:dyDescent="0.35">
      <c r="A16" s="2"/>
      <c r="B16" s="229"/>
      <c r="C16" s="114"/>
      <c r="D16" s="114"/>
      <c r="E16" s="114"/>
      <c r="F16" s="114"/>
      <c r="G16" s="114"/>
      <c r="H16" s="114"/>
      <c r="I16" s="229"/>
      <c r="J16" s="114"/>
      <c r="K16" s="114"/>
      <c r="L16" s="114"/>
      <c r="M16" s="235"/>
    </row>
    <row r="17" spans="1:13" x14ac:dyDescent="0.35">
      <c r="A17" s="2" t="s">
        <v>22</v>
      </c>
      <c r="B17" s="229">
        <v>29.8460103</v>
      </c>
      <c r="C17" s="114"/>
      <c r="D17" s="114"/>
      <c r="E17" s="114">
        <v>0.31</v>
      </c>
      <c r="F17" s="114">
        <v>0.17699999999999999</v>
      </c>
      <c r="G17" s="114">
        <v>0.159</v>
      </c>
      <c r="H17" s="114">
        <v>0.81200000000000006</v>
      </c>
      <c r="I17" s="229">
        <f>SUM(B17:H17)</f>
        <v>31.304010299999998</v>
      </c>
      <c r="J17" s="114">
        <v>1.0620000000000001</v>
      </c>
      <c r="K17" s="114">
        <v>0.34499999999999997</v>
      </c>
      <c r="L17" s="114">
        <v>2.1240000000000001</v>
      </c>
      <c r="M17" s="235">
        <f>I17+J17+K17+L17</f>
        <v>34.8350103</v>
      </c>
    </row>
    <row r="18" spans="1:13" x14ac:dyDescent="0.35">
      <c r="A18" s="2"/>
      <c r="B18" s="229"/>
      <c r="C18" s="114"/>
      <c r="D18" s="114"/>
      <c r="E18" s="114"/>
      <c r="F18" s="114"/>
      <c r="G18" s="114"/>
      <c r="H18" s="114"/>
      <c r="I18" s="229"/>
      <c r="J18" s="114"/>
      <c r="K18" s="114"/>
      <c r="L18" s="114"/>
      <c r="M18" s="235"/>
    </row>
    <row r="19" spans="1:13" x14ac:dyDescent="0.35">
      <c r="A19" s="2" t="s">
        <v>186</v>
      </c>
      <c r="B19" s="229">
        <v>92.499792262034504</v>
      </c>
      <c r="C19" s="114"/>
      <c r="D19" s="114"/>
      <c r="E19" s="114">
        <v>0.88900000000000001</v>
      </c>
      <c r="F19" s="114">
        <v>0.50800000000000001</v>
      </c>
      <c r="G19" s="114">
        <v>0.45800000000000002</v>
      </c>
      <c r="H19" s="114">
        <v>2.4950000000000001</v>
      </c>
      <c r="I19" s="229">
        <f>SUM(B19:H19)</f>
        <v>96.849792262034498</v>
      </c>
      <c r="J19" s="114">
        <f>7.615-2.137</f>
        <v>5.4779999999999998</v>
      </c>
      <c r="K19" s="114">
        <f>1.898-0.533</f>
        <v>1.3649999999999998</v>
      </c>
      <c r="L19" s="114">
        <f>3.34-0.937</f>
        <v>2.4029999999999996</v>
      </c>
      <c r="M19" s="235">
        <f>I19+J19+K19+L19</f>
        <v>106.09579226203449</v>
      </c>
    </row>
    <row r="20" spans="1:13" ht="16" thickBot="1" x14ac:dyDescent="0.4">
      <c r="A20" s="1"/>
      <c r="B20" s="231"/>
      <c r="C20" s="106"/>
      <c r="D20" s="106"/>
      <c r="E20" s="106"/>
      <c r="F20" s="106"/>
      <c r="G20" s="106"/>
      <c r="H20" s="106"/>
      <c r="I20" s="231"/>
      <c r="J20" s="106"/>
      <c r="K20" s="106"/>
      <c r="L20" s="106"/>
      <c r="M20" s="236"/>
    </row>
    <row r="21" spans="1:13" ht="16" thickBot="1" x14ac:dyDescent="0.4">
      <c r="A21" s="107" t="s">
        <v>0</v>
      </c>
      <c r="B21" s="232">
        <f t="shared" ref="B21:M21" si="1">+B7+B11+B13+B17+B15+B19+B9</f>
        <v>657.95685929999991</v>
      </c>
      <c r="C21" s="60">
        <f t="shared" si="1"/>
        <v>0.34315699999999999</v>
      </c>
      <c r="D21" s="60">
        <f t="shared" si="1"/>
        <v>0.23499999999999999</v>
      </c>
      <c r="E21" s="60">
        <f t="shared" si="1"/>
        <v>5.9250000000000007</v>
      </c>
      <c r="F21" s="60">
        <f t="shared" si="1"/>
        <v>4</v>
      </c>
      <c r="G21" s="60">
        <f t="shared" si="1"/>
        <v>3.6000000000000005</v>
      </c>
      <c r="H21" s="60">
        <f t="shared" si="1"/>
        <v>20.000000000000004</v>
      </c>
      <c r="I21" s="314">
        <f t="shared" si="1"/>
        <v>692.06001629999992</v>
      </c>
      <c r="J21" s="60">
        <f t="shared" si="1"/>
        <v>39.363000000000007</v>
      </c>
      <c r="K21" s="60">
        <f t="shared" si="1"/>
        <v>6.8859999999999983</v>
      </c>
      <c r="L21" s="60">
        <f t="shared" si="1"/>
        <v>22.576000000000001</v>
      </c>
      <c r="M21" s="237">
        <f t="shared" si="1"/>
        <v>760.88501629999996</v>
      </c>
    </row>
    <row r="23" spans="1:13" x14ac:dyDescent="0.35">
      <c r="B23" s="282"/>
      <c r="C23" s="282"/>
      <c r="D23" s="282"/>
      <c r="E23" s="282"/>
      <c r="F23" s="282"/>
      <c r="G23" s="282"/>
      <c r="J23" s="282"/>
      <c r="K23" s="282"/>
      <c r="L23" s="282"/>
    </row>
    <row r="24" spans="1:13" x14ac:dyDescent="0.35">
      <c r="I24" s="322"/>
    </row>
  </sheetData>
  <phoneticPr fontId="12" type="noConversion"/>
  <pageMargins left="0.55118110236220474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CL43"/>
  <sheetViews>
    <sheetView zoomScale="70" zoomScaleNormal="70" workbookViewId="0">
      <pane xSplit="1" ySplit="7" topLeftCell="BS8" activePane="bottomRight" state="frozen"/>
      <selection activeCell="M5" sqref="M5"/>
      <selection pane="topRight" activeCell="M5" sqref="M5"/>
      <selection pane="bottomLeft" activeCell="M5" sqref="M5"/>
      <selection pane="bottomRight" activeCell="CF25" sqref="CF25"/>
    </sheetView>
  </sheetViews>
  <sheetFormatPr defaultRowHeight="15.5" outlineLevelCol="1" x14ac:dyDescent="0.35"/>
  <cols>
    <col min="1" max="1" width="51.23046875" customWidth="1"/>
    <col min="2" max="2" width="10.84375" hidden="1" customWidth="1" outlineLevel="1"/>
    <col min="3" max="3" width="12.23046875" hidden="1" customWidth="1" outlineLevel="1"/>
    <col min="4" max="4" width="11.23046875" hidden="1" customWidth="1" outlineLevel="1"/>
    <col min="5" max="5" width="8.84375" hidden="1" customWidth="1" outlineLevel="1"/>
    <col min="6" max="6" width="13.23046875" hidden="1" customWidth="1" outlineLevel="1"/>
    <col min="7" max="7" width="12.07421875" hidden="1" customWidth="1" outlineLevel="1"/>
    <col min="8" max="8" width="10.84375" hidden="1" customWidth="1" outlineLevel="1"/>
    <col min="9" max="9" width="11.4609375" hidden="1" customWidth="1" outlineLevel="1"/>
    <col min="10" max="10" width="12" hidden="1" customWidth="1" outlineLevel="1"/>
    <col min="11" max="11" width="11.765625" hidden="1" customWidth="1" outlineLevel="1"/>
    <col min="12" max="12" width="13.84375" hidden="1" customWidth="1" outlineLevel="1"/>
    <col min="13" max="13" width="14.4609375" hidden="1" customWidth="1" outlineLevel="1"/>
    <col min="14" max="14" width="11.07421875" hidden="1" customWidth="1" outlineLevel="1"/>
    <col min="15" max="15" width="12.53515625" hidden="1" customWidth="1" outlineLevel="1"/>
    <col min="16" max="16" width="15" hidden="1" customWidth="1" outlineLevel="1"/>
    <col min="17" max="17" width="13.765625" hidden="1" customWidth="1" outlineLevel="1"/>
    <col min="18" max="18" width="13.07421875" hidden="1" customWidth="1" outlineLevel="1"/>
    <col min="19" max="20" width="11.23046875" hidden="1" customWidth="1" outlineLevel="1"/>
    <col min="21" max="21" width="10.765625" hidden="1" customWidth="1" outlineLevel="1"/>
    <col min="22" max="22" width="12.23046875" hidden="1" customWidth="1" outlineLevel="1"/>
    <col min="23" max="23" width="14" hidden="1" customWidth="1" outlineLevel="1"/>
    <col min="24" max="24" width="11.4609375" hidden="1" customWidth="1" outlineLevel="1"/>
    <col min="25" max="25" width="11.07421875" hidden="1" customWidth="1" outlineLevel="1"/>
    <col min="26" max="26" width="11.23046875" hidden="1" customWidth="1" outlineLevel="1"/>
    <col min="27" max="27" width="10.23046875" hidden="1" customWidth="1" outlineLevel="1"/>
    <col min="28" max="28" width="12.765625" hidden="1" customWidth="1" outlineLevel="1"/>
    <col min="29" max="29" width="13" hidden="1" customWidth="1" outlineLevel="1"/>
    <col min="30" max="30" width="10.765625" hidden="1" customWidth="1" outlineLevel="1"/>
    <col min="31" max="32" width="11.4609375" hidden="1" customWidth="1" outlineLevel="1"/>
    <col min="33" max="33" width="13.23046875" hidden="1" customWidth="1" outlineLevel="1"/>
    <col min="34" max="34" width="14.765625" hidden="1" customWidth="1" outlineLevel="1"/>
    <col min="35" max="36" width="13.23046875" hidden="1" customWidth="1" outlineLevel="1"/>
    <col min="37" max="37" width="15" hidden="1" customWidth="1" outlineLevel="1"/>
    <col min="38" max="38" width="13.23046875" hidden="1" customWidth="1" outlineLevel="1"/>
    <col min="39" max="39" width="14.765625" hidden="1" customWidth="1" outlineLevel="1"/>
    <col min="40" max="42" width="15.23046875" hidden="1" customWidth="1" outlineLevel="1"/>
    <col min="43" max="43" width="17.4609375" hidden="1" customWidth="1" outlineLevel="1"/>
    <col min="44" max="52" width="15.23046875" hidden="1" customWidth="1" outlineLevel="1"/>
    <col min="53" max="54" width="12.53515625" hidden="1" customWidth="1" outlineLevel="1"/>
    <col min="55" max="55" width="15.53515625" hidden="1" customWidth="1" outlineLevel="1"/>
    <col min="56" max="56" width="12.53515625" hidden="1" customWidth="1" outlineLevel="1"/>
    <col min="57" max="58" width="15.07421875" hidden="1" customWidth="1" outlineLevel="1"/>
    <col min="59" max="59" width="12.53515625" hidden="1" customWidth="1" outlineLevel="1"/>
    <col min="60" max="60" width="12.53515625" customWidth="1" collapsed="1"/>
    <col min="61" max="71" width="12.53515625" customWidth="1"/>
    <col min="72" max="72" width="14.07421875" customWidth="1"/>
    <col min="73" max="85" width="12.53515625" customWidth="1"/>
    <col min="86" max="86" width="15.07421875" customWidth="1"/>
    <col min="88" max="88" width="12" customWidth="1"/>
    <col min="90" max="90" width="14.07421875" customWidth="1"/>
  </cols>
  <sheetData>
    <row r="1" spans="1:90" x14ac:dyDescent="0.35">
      <c r="A1" s="57" t="s">
        <v>162</v>
      </c>
      <c r="AW1" s="62"/>
      <c r="AX1" s="62"/>
      <c r="AY1" s="62"/>
      <c r="AZ1" s="62"/>
    </row>
    <row r="2" spans="1:90" x14ac:dyDescent="0.35">
      <c r="AG2" s="324"/>
      <c r="AV2" s="221"/>
      <c r="AW2" s="322"/>
      <c r="AX2" s="322"/>
      <c r="AY2" s="322"/>
      <c r="AZ2" s="322"/>
      <c r="BA2" s="322"/>
      <c r="BH2" s="323" t="s">
        <v>161</v>
      </c>
      <c r="BI2" s="332"/>
      <c r="BJ2" s="332"/>
      <c r="BK2" s="332"/>
      <c r="BL2" s="332"/>
      <c r="BM2" s="332"/>
      <c r="BN2" s="332"/>
      <c r="BO2" s="332"/>
      <c r="BP2" s="332"/>
      <c r="BQ2" s="332"/>
    </row>
    <row r="3" spans="1:90" ht="16" thickBot="1" x14ac:dyDescent="0.4"/>
    <row r="4" spans="1:90" x14ac:dyDescent="0.35">
      <c r="A4" s="13"/>
      <c r="B4" s="56">
        <v>1</v>
      </c>
      <c r="C4" s="56">
        <f t="shared" ref="C4:AA4" si="0">B4+1</f>
        <v>2</v>
      </c>
      <c r="D4" s="56">
        <f t="shared" si="0"/>
        <v>3</v>
      </c>
      <c r="E4" s="56">
        <f t="shared" si="0"/>
        <v>4</v>
      </c>
      <c r="F4" s="56">
        <f t="shared" si="0"/>
        <v>5</v>
      </c>
      <c r="G4" s="56">
        <f t="shared" si="0"/>
        <v>6</v>
      </c>
      <c r="H4" s="56">
        <f t="shared" si="0"/>
        <v>7</v>
      </c>
      <c r="I4" s="56">
        <f t="shared" si="0"/>
        <v>8</v>
      </c>
      <c r="J4" s="56">
        <f t="shared" si="0"/>
        <v>9</v>
      </c>
      <c r="K4" s="56">
        <f t="shared" si="0"/>
        <v>10</v>
      </c>
      <c r="L4" s="56">
        <f t="shared" si="0"/>
        <v>11</v>
      </c>
      <c r="M4" s="56">
        <f t="shared" si="0"/>
        <v>12</v>
      </c>
      <c r="N4" s="56">
        <f t="shared" si="0"/>
        <v>13</v>
      </c>
      <c r="O4" s="56">
        <f t="shared" si="0"/>
        <v>14</v>
      </c>
      <c r="P4" s="56">
        <f t="shared" si="0"/>
        <v>15</v>
      </c>
      <c r="Q4" s="56">
        <f t="shared" si="0"/>
        <v>16</v>
      </c>
      <c r="R4" s="56">
        <f t="shared" si="0"/>
        <v>17</v>
      </c>
      <c r="S4" s="56">
        <f t="shared" si="0"/>
        <v>18</v>
      </c>
      <c r="T4" s="56">
        <f t="shared" si="0"/>
        <v>19</v>
      </c>
      <c r="U4" s="56">
        <f t="shared" si="0"/>
        <v>20</v>
      </c>
      <c r="V4" s="56">
        <f t="shared" si="0"/>
        <v>21</v>
      </c>
      <c r="W4" s="56">
        <f t="shared" si="0"/>
        <v>22</v>
      </c>
      <c r="X4" s="56">
        <f t="shared" si="0"/>
        <v>23</v>
      </c>
      <c r="Y4" s="56">
        <f t="shared" si="0"/>
        <v>24</v>
      </c>
      <c r="Z4" s="56">
        <f t="shared" si="0"/>
        <v>25</v>
      </c>
      <c r="AA4" s="56">
        <f t="shared" si="0"/>
        <v>26</v>
      </c>
      <c r="AB4" s="56">
        <f t="shared" ref="AB4:AQ4" si="1">AA4+1</f>
        <v>27</v>
      </c>
      <c r="AC4" s="56">
        <f t="shared" si="1"/>
        <v>28</v>
      </c>
      <c r="AD4" s="56">
        <f t="shared" si="1"/>
        <v>29</v>
      </c>
      <c r="AE4" s="56">
        <f t="shared" si="1"/>
        <v>30</v>
      </c>
      <c r="AF4" s="56">
        <f t="shared" si="1"/>
        <v>31</v>
      </c>
      <c r="AG4" s="56">
        <f t="shared" si="1"/>
        <v>32</v>
      </c>
      <c r="AH4" s="56">
        <f t="shared" si="1"/>
        <v>33</v>
      </c>
      <c r="AI4" s="56">
        <f t="shared" si="1"/>
        <v>34</v>
      </c>
      <c r="AJ4" s="56">
        <f t="shared" si="1"/>
        <v>35</v>
      </c>
      <c r="AK4" s="56">
        <f t="shared" si="1"/>
        <v>36</v>
      </c>
      <c r="AL4" s="56">
        <f t="shared" si="1"/>
        <v>37</v>
      </c>
      <c r="AM4" s="56">
        <f t="shared" si="1"/>
        <v>38</v>
      </c>
      <c r="AN4" s="56">
        <f t="shared" si="1"/>
        <v>39</v>
      </c>
      <c r="AO4" s="56">
        <f t="shared" si="1"/>
        <v>40</v>
      </c>
      <c r="AP4" s="56">
        <f t="shared" si="1"/>
        <v>41</v>
      </c>
      <c r="AQ4" s="56">
        <f t="shared" si="1"/>
        <v>42</v>
      </c>
      <c r="AR4" s="56">
        <f t="shared" ref="AR4:AZ4" si="2">AQ4+1</f>
        <v>43</v>
      </c>
      <c r="AS4" s="56">
        <f t="shared" si="2"/>
        <v>44</v>
      </c>
      <c r="AT4" s="56">
        <f t="shared" si="2"/>
        <v>45</v>
      </c>
      <c r="AU4" s="56">
        <f t="shared" si="2"/>
        <v>46</v>
      </c>
      <c r="AV4" s="56">
        <f t="shared" si="2"/>
        <v>47</v>
      </c>
      <c r="AW4" s="56">
        <f t="shared" si="2"/>
        <v>48</v>
      </c>
      <c r="AX4" s="56">
        <f t="shared" si="2"/>
        <v>49</v>
      </c>
      <c r="AY4" s="56">
        <f t="shared" si="2"/>
        <v>50</v>
      </c>
      <c r="AZ4" s="56">
        <f t="shared" si="2"/>
        <v>51</v>
      </c>
      <c r="BA4" s="56">
        <f t="shared" ref="BA4:BH4" si="3">AZ4+1</f>
        <v>52</v>
      </c>
      <c r="BB4" s="56">
        <f t="shared" si="3"/>
        <v>53</v>
      </c>
      <c r="BC4" s="56">
        <f t="shared" si="3"/>
        <v>54</v>
      </c>
      <c r="BD4" s="56">
        <f t="shared" si="3"/>
        <v>55</v>
      </c>
      <c r="BE4" s="56">
        <f t="shared" si="3"/>
        <v>56</v>
      </c>
      <c r="BF4" s="56">
        <f t="shared" si="3"/>
        <v>57</v>
      </c>
      <c r="BG4" s="56">
        <f t="shared" si="3"/>
        <v>58</v>
      </c>
      <c r="BH4" s="56">
        <f t="shared" si="3"/>
        <v>59</v>
      </c>
      <c r="BI4" s="56">
        <f t="shared" ref="BI4:BN4" si="4">BH4+1</f>
        <v>60</v>
      </c>
      <c r="BJ4" s="56">
        <f t="shared" si="4"/>
        <v>61</v>
      </c>
      <c r="BK4" s="56">
        <f t="shared" si="4"/>
        <v>62</v>
      </c>
      <c r="BL4" s="56">
        <f t="shared" si="4"/>
        <v>63</v>
      </c>
      <c r="BM4" s="56">
        <f t="shared" si="4"/>
        <v>64</v>
      </c>
      <c r="BN4" s="56">
        <f t="shared" si="4"/>
        <v>65</v>
      </c>
      <c r="BO4" s="56">
        <f>BN4+1</f>
        <v>66</v>
      </c>
      <c r="BP4" s="56">
        <f>BO4+1</f>
        <v>67</v>
      </c>
      <c r="BQ4" s="56">
        <f>BP4+1</f>
        <v>68</v>
      </c>
      <c r="BR4" s="385">
        <f t="shared" ref="BR4" si="5">BQ4+1</f>
        <v>69</v>
      </c>
      <c r="BS4" s="385">
        <f t="shared" ref="BS4" si="6">BR4+1</f>
        <v>70</v>
      </c>
      <c r="BT4" s="385">
        <f t="shared" ref="BT4" si="7">BS4+1</f>
        <v>71</v>
      </c>
      <c r="BU4" s="385">
        <f t="shared" ref="BU4" si="8">BT4+1</f>
        <v>72</v>
      </c>
      <c r="BV4" s="385">
        <f t="shared" ref="BV4" si="9">BU4+1</f>
        <v>73</v>
      </c>
      <c r="BW4" s="385">
        <f t="shared" ref="BW4" si="10">BV4+1</f>
        <v>74</v>
      </c>
      <c r="BX4" s="385">
        <f t="shared" ref="BX4" si="11">BW4+1</f>
        <v>75</v>
      </c>
      <c r="BY4" s="385">
        <f t="shared" ref="BY4" si="12">BX4+1</f>
        <v>76</v>
      </c>
      <c r="BZ4" s="385">
        <f t="shared" ref="BZ4" si="13">BY4+1</f>
        <v>77</v>
      </c>
      <c r="CA4" s="385">
        <f t="shared" ref="CA4" si="14">BZ4+1</f>
        <v>78</v>
      </c>
      <c r="CB4" s="385">
        <f t="shared" ref="CB4" si="15">CA4+1</f>
        <v>79</v>
      </c>
      <c r="CC4" s="385">
        <f t="shared" ref="CC4" si="16">CB4+1</f>
        <v>80</v>
      </c>
      <c r="CD4" s="385">
        <f t="shared" ref="CD4" si="17">CC4+1</f>
        <v>81</v>
      </c>
      <c r="CE4" s="385">
        <f t="shared" ref="CE4" si="18">CD4+1</f>
        <v>82</v>
      </c>
      <c r="CF4" s="385">
        <f t="shared" ref="CF4" si="19">CE4+1</f>
        <v>83</v>
      </c>
      <c r="CG4" s="385">
        <f t="shared" ref="CG4:CH4" si="20">CF4+1</f>
        <v>84</v>
      </c>
      <c r="CH4" s="385">
        <f t="shared" si="20"/>
        <v>85</v>
      </c>
      <c r="CJ4" s="279"/>
      <c r="CL4" s="279"/>
    </row>
    <row r="5" spans="1:90" ht="120" customHeight="1" x14ac:dyDescent="0.35">
      <c r="A5" s="268"/>
      <c r="B5" s="269" t="s">
        <v>44</v>
      </c>
      <c r="C5" s="269" t="s">
        <v>45</v>
      </c>
      <c r="D5" s="269" t="s">
        <v>49</v>
      </c>
      <c r="E5" s="269" t="s">
        <v>50</v>
      </c>
      <c r="F5" s="269" t="s">
        <v>41</v>
      </c>
      <c r="G5" s="269" t="s">
        <v>52</v>
      </c>
      <c r="H5" s="269" t="s">
        <v>61</v>
      </c>
      <c r="I5" s="269" t="s">
        <v>60</v>
      </c>
      <c r="J5" s="269" t="s">
        <v>53</v>
      </c>
      <c r="K5" s="271" t="s">
        <v>58</v>
      </c>
      <c r="L5" s="271" t="s">
        <v>59</v>
      </c>
      <c r="M5" s="271" t="s">
        <v>114</v>
      </c>
      <c r="N5" s="271" t="s">
        <v>102</v>
      </c>
      <c r="O5" s="271" t="s">
        <v>103</v>
      </c>
      <c r="P5" s="271" t="s">
        <v>101</v>
      </c>
      <c r="Q5" s="271" t="s">
        <v>137</v>
      </c>
      <c r="R5" s="271" t="s">
        <v>138</v>
      </c>
      <c r="S5" s="271" t="s">
        <v>139</v>
      </c>
      <c r="T5" s="271" t="s">
        <v>115</v>
      </c>
      <c r="U5" s="271" t="s">
        <v>116</v>
      </c>
      <c r="V5" s="271" t="s">
        <v>117</v>
      </c>
      <c r="W5" s="271" t="s">
        <v>118</v>
      </c>
      <c r="X5" s="271" t="s">
        <v>119</v>
      </c>
      <c r="Y5" s="271" t="s">
        <v>120</v>
      </c>
      <c r="Z5" s="271" t="s">
        <v>121</v>
      </c>
      <c r="AA5" s="271" t="s">
        <v>124</v>
      </c>
      <c r="AB5" s="271" t="s">
        <v>136</v>
      </c>
      <c r="AC5" s="271" t="s">
        <v>140</v>
      </c>
      <c r="AD5" s="271" t="s">
        <v>141</v>
      </c>
      <c r="AE5" s="271" t="s">
        <v>142</v>
      </c>
      <c r="AF5" s="271" t="s">
        <v>260</v>
      </c>
      <c r="AG5" s="328" t="s">
        <v>152</v>
      </c>
      <c r="AH5" s="328" t="s">
        <v>153</v>
      </c>
      <c r="AI5" s="328" t="s">
        <v>154</v>
      </c>
      <c r="AJ5" s="328" t="s">
        <v>259</v>
      </c>
      <c r="AK5" s="328" t="s">
        <v>156</v>
      </c>
      <c r="AL5" s="328" t="s">
        <v>157</v>
      </c>
      <c r="AM5" s="328" t="s">
        <v>155</v>
      </c>
      <c r="AN5" s="328" t="s">
        <v>158</v>
      </c>
      <c r="AO5" s="328" t="s">
        <v>159</v>
      </c>
      <c r="AP5" s="328" t="s">
        <v>160</v>
      </c>
      <c r="AQ5" s="329" t="s">
        <v>151</v>
      </c>
      <c r="AR5" s="330" t="s">
        <v>163</v>
      </c>
      <c r="AS5" s="331" t="s">
        <v>164</v>
      </c>
      <c r="AT5" s="331" t="s">
        <v>165</v>
      </c>
      <c r="AU5" s="331" t="s">
        <v>283</v>
      </c>
      <c r="AV5" s="331" t="s">
        <v>183</v>
      </c>
      <c r="AW5" s="331" t="s">
        <v>171</v>
      </c>
      <c r="AX5" s="331" t="s">
        <v>172</v>
      </c>
      <c r="AY5" s="331" t="s">
        <v>173</v>
      </c>
      <c r="AZ5" s="328" t="s">
        <v>248</v>
      </c>
      <c r="BA5" s="328" t="s">
        <v>184</v>
      </c>
      <c r="BB5" s="328" t="s">
        <v>189</v>
      </c>
      <c r="BC5" s="328" t="s">
        <v>191</v>
      </c>
      <c r="BD5" s="328" t="s">
        <v>192</v>
      </c>
      <c r="BE5" s="328" t="s">
        <v>193</v>
      </c>
      <c r="BF5" s="328" t="s">
        <v>197</v>
      </c>
      <c r="BG5" s="328" t="s">
        <v>249</v>
      </c>
      <c r="BH5" s="328" t="s">
        <v>184</v>
      </c>
      <c r="BI5" s="328" t="s">
        <v>206</v>
      </c>
      <c r="BJ5" s="328" t="s">
        <v>207</v>
      </c>
      <c r="BK5" s="328" t="s">
        <v>208</v>
      </c>
      <c r="BL5" s="328" t="s">
        <v>209</v>
      </c>
      <c r="BM5" s="328" t="s">
        <v>210</v>
      </c>
      <c r="BN5" s="328" t="s">
        <v>213</v>
      </c>
      <c r="BO5" s="328" t="s">
        <v>214</v>
      </c>
      <c r="BP5" s="328" t="s">
        <v>215</v>
      </c>
      <c r="BQ5" s="328" t="s">
        <v>250</v>
      </c>
      <c r="BR5" s="400" t="s">
        <v>251</v>
      </c>
      <c r="BS5" s="400" t="s">
        <v>261</v>
      </c>
      <c r="BT5" s="400" t="s">
        <v>262</v>
      </c>
      <c r="BU5" s="400" t="s">
        <v>263</v>
      </c>
      <c r="BV5" s="400" t="s">
        <v>264</v>
      </c>
      <c r="BW5" s="400" t="s">
        <v>282</v>
      </c>
      <c r="BX5" s="400" t="s">
        <v>281</v>
      </c>
      <c r="BY5" s="400" t="s">
        <v>265</v>
      </c>
      <c r="BZ5" s="400" t="s">
        <v>276</v>
      </c>
      <c r="CA5" s="400" t="s">
        <v>277</v>
      </c>
      <c r="CB5" s="400" t="s">
        <v>267</v>
      </c>
      <c r="CC5" s="400" t="s">
        <v>278</v>
      </c>
      <c r="CD5" s="400" t="s">
        <v>279</v>
      </c>
      <c r="CE5" s="400" t="s">
        <v>308</v>
      </c>
      <c r="CF5" s="400" t="s">
        <v>268</v>
      </c>
      <c r="CG5" s="400" t="s">
        <v>266</v>
      </c>
      <c r="CH5" s="320" t="s">
        <v>242</v>
      </c>
      <c r="CJ5" s="278" t="s">
        <v>222</v>
      </c>
      <c r="CL5" s="280" t="s">
        <v>243</v>
      </c>
    </row>
    <row r="6" spans="1:90" x14ac:dyDescent="0.35">
      <c r="A6" s="71" t="s">
        <v>7</v>
      </c>
      <c r="B6" s="109" t="s">
        <v>15</v>
      </c>
      <c r="C6" s="109" t="s">
        <v>15</v>
      </c>
      <c r="D6" s="109" t="s">
        <v>15</v>
      </c>
      <c r="E6" s="109" t="s">
        <v>15</v>
      </c>
      <c r="F6" s="109" t="s">
        <v>15</v>
      </c>
      <c r="G6" s="109" t="s">
        <v>15</v>
      </c>
      <c r="H6" s="109" t="s">
        <v>15</v>
      </c>
      <c r="I6" s="109" t="s">
        <v>15</v>
      </c>
      <c r="J6" s="109" t="s">
        <v>15</v>
      </c>
      <c r="K6" s="109" t="s">
        <v>15</v>
      </c>
      <c r="L6" s="109" t="s">
        <v>15</v>
      </c>
      <c r="M6" s="109" t="s">
        <v>15</v>
      </c>
      <c r="N6" s="109" t="s">
        <v>15</v>
      </c>
      <c r="O6" s="109" t="s">
        <v>15</v>
      </c>
      <c r="P6" s="109" t="s">
        <v>15</v>
      </c>
      <c r="Q6" s="109" t="s">
        <v>15</v>
      </c>
      <c r="R6" s="109" t="s">
        <v>15</v>
      </c>
      <c r="S6" s="109" t="s">
        <v>15</v>
      </c>
      <c r="T6" s="109" t="s">
        <v>15</v>
      </c>
      <c r="U6" s="109" t="s">
        <v>15</v>
      </c>
      <c r="V6" s="109" t="s">
        <v>15</v>
      </c>
      <c r="W6" s="109" t="s">
        <v>15</v>
      </c>
      <c r="X6" s="109" t="s">
        <v>15</v>
      </c>
      <c r="Y6" s="109" t="s">
        <v>15</v>
      </c>
      <c r="Z6" s="109" t="s">
        <v>15</v>
      </c>
      <c r="AA6" s="109" t="s">
        <v>15</v>
      </c>
      <c r="AB6" s="109" t="s">
        <v>15</v>
      </c>
      <c r="AC6" s="109" t="s">
        <v>15</v>
      </c>
      <c r="AD6" s="109" t="s">
        <v>15</v>
      </c>
      <c r="AE6" s="109" t="s">
        <v>15</v>
      </c>
      <c r="AF6" s="109" t="s">
        <v>15</v>
      </c>
      <c r="AG6" s="109" t="s">
        <v>15</v>
      </c>
      <c r="AH6" s="109" t="s">
        <v>15</v>
      </c>
      <c r="AI6" s="109" t="s">
        <v>15</v>
      </c>
      <c r="AJ6" s="109" t="s">
        <v>15</v>
      </c>
      <c r="AK6" s="109" t="s">
        <v>15</v>
      </c>
      <c r="AL6" s="109" t="s">
        <v>15</v>
      </c>
      <c r="AM6" s="109" t="s">
        <v>15</v>
      </c>
      <c r="AN6" s="109" t="s">
        <v>15</v>
      </c>
      <c r="AO6" s="109" t="s">
        <v>15</v>
      </c>
      <c r="AP6" s="109" t="s">
        <v>15</v>
      </c>
      <c r="AQ6" s="109" t="s">
        <v>15</v>
      </c>
      <c r="AR6" s="109" t="s">
        <v>15</v>
      </c>
      <c r="AS6" s="109" t="s">
        <v>15</v>
      </c>
      <c r="AT6" s="109" t="s">
        <v>15</v>
      </c>
      <c r="AU6" s="109" t="s">
        <v>15</v>
      </c>
      <c r="AV6" s="109" t="s">
        <v>15</v>
      </c>
      <c r="AW6" s="109" t="s">
        <v>15</v>
      </c>
      <c r="AX6" s="109" t="s">
        <v>15</v>
      </c>
      <c r="AY6" s="109" t="s">
        <v>15</v>
      </c>
      <c r="AZ6" s="109" t="s">
        <v>15</v>
      </c>
      <c r="BA6" s="109" t="s">
        <v>15</v>
      </c>
      <c r="BB6" s="109" t="s">
        <v>15</v>
      </c>
      <c r="BC6" s="109" t="s">
        <v>15</v>
      </c>
      <c r="BD6" s="109" t="s">
        <v>15</v>
      </c>
      <c r="BE6" s="109" t="s">
        <v>15</v>
      </c>
      <c r="BF6" s="109" t="s">
        <v>15</v>
      </c>
      <c r="BG6" s="109" t="s">
        <v>15</v>
      </c>
      <c r="BH6" s="109" t="s">
        <v>15</v>
      </c>
      <c r="BI6" s="109" t="s">
        <v>15</v>
      </c>
      <c r="BJ6" s="109" t="s">
        <v>15</v>
      </c>
      <c r="BK6" s="109" t="s">
        <v>15</v>
      </c>
      <c r="BL6" s="109" t="s">
        <v>15</v>
      </c>
      <c r="BM6" s="109" t="s">
        <v>15</v>
      </c>
      <c r="BN6" s="109" t="s">
        <v>15</v>
      </c>
      <c r="BO6" s="109" t="s">
        <v>15</v>
      </c>
      <c r="BP6" s="109" t="s">
        <v>15</v>
      </c>
      <c r="BQ6" s="109" t="s">
        <v>15</v>
      </c>
      <c r="BR6" s="109" t="s">
        <v>15</v>
      </c>
      <c r="BS6" s="109" t="s">
        <v>15</v>
      </c>
      <c r="BT6" s="109" t="s">
        <v>15</v>
      </c>
      <c r="BU6" s="109" t="s">
        <v>15</v>
      </c>
      <c r="BV6" s="109" t="s">
        <v>15</v>
      </c>
      <c r="BW6" s="109" t="s">
        <v>15</v>
      </c>
      <c r="BX6" s="109" t="s">
        <v>15</v>
      </c>
      <c r="BY6" s="109" t="s">
        <v>15</v>
      </c>
      <c r="BZ6" s="109" t="s">
        <v>15</v>
      </c>
      <c r="CA6" s="109" t="s">
        <v>15</v>
      </c>
      <c r="CB6" s="109" t="s">
        <v>15</v>
      </c>
      <c r="CC6" s="109" t="s">
        <v>15</v>
      </c>
      <c r="CD6" s="109" t="s">
        <v>15</v>
      </c>
      <c r="CE6" s="109" t="s">
        <v>15</v>
      </c>
      <c r="CF6" s="109" t="s">
        <v>15</v>
      </c>
      <c r="CG6" s="109" t="s">
        <v>15</v>
      </c>
      <c r="CH6" s="109" t="s">
        <v>15</v>
      </c>
      <c r="CJ6" s="185" t="s">
        <v>15</v>
      </c>
      <c r="CL6" s="238" t="s">
        <v>15</v>
      </c>
    </row>
    <row r="7" spans="1:90" x14ac:dyDescent="0.3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35"/>
      <c r="CJ7" s="186"/>
      <c r="CL7" s="239"/>
    </row>
    <row r="8" spans="1:90" x14ac:dyDescent="0.35">
      <c r="A8" s="2" t="s">
        <v>20</v>
      </c>
      <c r="B8" s="26">
        <v>0.28265000000000001</v>
      </c>
      <c r="C8" s="26">
        <v>1.163961</v>
      </c>
      <c r="D8" s="26">
        <v>1.5366029999999999</v>
      </c>
      <c r="E8" s="26">
        <v>0</v>
      </c>
      <c r="F8" s="26">
        <v>1.8740000000000001</v>
      </c>
      <c r="G8" s="26">
        <v>0</v>
      </c>
      <c r="H8" s="26">
        <v>0</v>
      </c>
      <c r="I8" s="26"/>
      <c r="J8" s="26">
        <v>0</v>
      </c>
      <c r="K8" s="182"/>
      <c r="L8" s="182">
        <v>-3.3845E-2</v>
      </c>
      <c r="M8" s="182"/>
      <c r="N8" s="182"/>
      <c r="O8" s="182"/>
      <c r="P8" s="182"/>
      <c r="Q8" s="182"/>
      <c r="R8" s="182">
        <v>7.0000000000000001E-3</v>
      </c>
      <c r="S8" s="182">
        <v>1.0500000000000001E-2</v>
      </c>
      <c r="T8" s="182">
        <v>5.3900000000000003E-2</v>
      </c>
      <c r="U8" s="182">
        <v>8.8269999999999998E-3</v>
      </c>
      <c r="V8" s="182">
        <v>0.01</v>
      </c>
      <c r="W8" s="182"/>
      <c r="X8" s="182"/>
      <c r="Y8" s="182"/>
      <c r="Z8" s="182"/>
      <c r="AA8" s="182"/>
      <c r="AB8" s="182">
        <v>1.7999999999999999E-2</v>
      </c>
      <c r="AC8" s="182">
        <v>8.5999999999999993E-2</v>
      </c>
      <c r="AD8" s="182"/>
      <c r="AE8" s="182">
        <v>3.1E-2</v>
      </c>
      <c r="AF8" s="182"/>
      <c r="AG8" s="182"/>
      <c r="AH8" s="182"/>
      <c r="AI8" s="182"/>
      <c r="AJ8" s="182">
        <v>1.5010000000000001E-2</v>
      </c>
      <c r="AK8" s="182"/>
      <c r="AL8" s="182"/>
      <c r="AM8" s="182">
        <v>6.1020999999999999E-2</v>
      </c>
      <c r="AN8" s="182">
        <v>1.2152E-2</v>
      </c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>
        <v>1.0586999999999999E-2</v>
      </c>
      <c r="BF8" s="182"/>
      <c r="BG8" s="182"/>
      <c r="BH8" s="182"/>
      <c r="BI8" s="182">
        <v>3.6999999999999998E-2</v>
      </c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>
        <v>2.1406999999999999E-2</v>
      </c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412">
        <f>SUM(B8:CG8)</f>
        <v>5.2057730000000006</v>
      </c>
      <c r="CJ8" s="248">
        <v>5.1840340000000005</v>
      </c>
      <c r="CK8" s="57"/>
      <c r="CL8" s="317">
        <f>CJ8-CH8</f>
        <v>-2.1739000000000175E-2</v>
      </c>
    </row>
    <row r="9" spans="1:90" x14ac:dyDescent="0.35">
      <c r="A9" s="2"/>
      <c r="B9" s="26"/>
      <c r="C9" s="26"/>
      <c r="D9" s="26"/>
      <c r="E9" s="26"/>
      <c r="F9" s="26"/>
      <c r="G9" s="26"/>
      <c r="H9" s="26"/>
      <c r="I9" s="26"/>
      <c r="J9" s="26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36"/>
      <c r="CJ9" s="248"/>
      <c r="CK9" s="57"/>
      <c r="CL9" s="317"/>
    </row>
    <row r="10" spans="1:90" x14ac:dyDescent="0.35">
      <c r="A10" s="113" t="s">
        <v>107</v>
      </c>
      <c r="B10" s="177">
        <v>0.27160499999999999</v>
      </c>
      <c r="C10" s="177">
        <v>1.886646</v>
      </c>
      <c r="D10" s="177">
        <v>1.569639</v>
      </c>
      <c r="E10" s="177">
        <v>0.96741900000000003</v>
      </c>
      <c r="F10" s="177">
        <v>1.2291750000000001</v>
      </c>
      <c r="G10" s="177">
        <v>0</v>
      </c>
      <c r="H10" s="177">
        <v>0</v>
      </c>
      <c r="I10" s="177"/>
      <c r="J10" s="177">
        <v>0</v>
      </c>
      <c r="K10" s="183"/>
      <c r="L10" s="183">
        <v>-3.7384000000000001E-2</v>
      </c>
      <c r="M10" s="183"/>
      <c r="N10" s="183"/>
      <c r="O10" s="183"/>
      <c r="P10" s="183"/>
      <c r="Q10" s="183"/>
      <c r="R10" s="183">
        <v>7.0000000000000001E-3</v>
      </c>
      <c r="S10" s="183">
        <v>1.34E-2</v>
      </c>
      <c r="T10" s="183">
        <v>5.3900000000000003E-2</v>
      </c>
      <c r="U10" s="183">
        <v>8.8269999999999998E-3</v>
      </c>
      <c r="V10" s="183">
        <v>0.01</v>
      </c>
      <c r="W10" s="183"/>
      <c r="X10" s="183"/>
      <c r="Y10" s="183"/>
      <c r="Z10" s="183"/>
      <c r="AA10" s="183"/>
      <c r="AB10" s="182">
        <v>1.7999999999999999E-2</v>
      </c>
      <c r="AC10" s="182">
        <v>0.125</v>
      </c>
      <c r="AD10" s="182"/>
      <c r="AE10" s="182"/>
      <c r="AF10" s="182"/>
      <c r="AG10" s="182"/>
      <c r="AH10" s="182"/>
      <c r="AI10" s="182"/>
      <c r="AJ10" s="182">
        <v>1.7877000000000001E-2</v>
      </c>
      <c r="AK10" s="182">
        <v>4.4448000000000001E-2</v>
      </c>
      <c r="AL10" s="182">
        <v>2.4303000000000002E-2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>
        <v>3.2778000000000002E-2</v>
      </c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412">
        <f>SUM(B10:CG10)</f>
        <v>6.2426329999999988</v>
      </c>
      <c r="CJ10" s="248">
        <v>6.2098549999999983</v>
      </c>
      <c r="CK10" s="57"/>
      <c r="CL10" s="317">
        <f>CJ10-CH10</f>
        <v>-3.2778000000000418E-2</v>
      </c>
    </row>
    <row r="11" spans="1:90" x14ac:dyDescent="0.35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36"/>
      <c r="CJ11" s="248"/>
      <c r="CK11" s="57"/>
      <c r="CL11" s="317"/>
    </row>
    <row r="12" spans="1:90" x14ac:dyDescent="0.35">
      <c r="A12" s="2" t="s">
        <v>21</v>
      </c>
      <c r="B12" s="26">
        <v>0.329129</v>
      </c>
      <c r="C12" s="26">
        <v>1.2235959999999999</v>
      </c>
      <c r="D12" s="26">
        <v>1.921627</v>
      </c>
      <c r="E12" s="26">
        <v>0.30313000000000001</v>
      </c>
      <c r="F12" s="26">
        <v>1.377</v>
      </c>
      <c r="G12" s="26">
        <v>0</v>
      </c>
      <c r="H12" s="26">
        <v>0</v>
      </c>
      <c r="I12" s="26"/>
      <c r="J12" s="26">
        <v>0</v>
      </c>
      <c r="K12" s="182"/>
      <c r="L12" s="182">
        <v>-1.1079E-2</v>
      </c>
      <c r="M12" s="182"/>
      <c r="N12" s="182"/>
      <c r="O12" s="182"/>
      <c r="P12" s="182"/>
      <c r="Q12" s="182"/>
      <c r="R12" s="182">
        <v>7.0000000000000001E-3</v>
      </c>
      <c r="S12" s="182">
        <v>1.1599999999999999E-2</v>
      </c>
      <c r="T12" s="182">
        <v>5.3900000000000003E-2</v>
      </c>
      <c r="U12" s="182">
        <v>8.8269999999999998E-3</v>
      </c>
      <c r="V12" s="182">
        <v>0.01</v>
      </c>
      <c r="W12" s="182"/>
      <c r="X12" s="182"/>
      <c r="Y12" s="182"/>
      <c r="Z12" s="182"/>
      <c r="AA12" s="182"/>
      <c r="AB12" s="182">
        <v>1.7999999999999999E-2</v>
      </c>
      <c r="AC12" s="182">
        <v>6.6000000000000003E-2</v>
      </c>
      <c r="AD12" s="182"/>
      <c r="AE12" s="182"/>
      <c r="AF12" s="182"/>
      <c r="AG12" s="182"/>
      <c r="AH12" s="182"/>
      <c r="AI12" s="182">
        <v>-6.9829999999999996E-3</v>
      </c>
      <c r="AJ12" s="182">
        <v>1.2297000000000001E-2</v>
      </c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>
        <v>3.6461E-2</v>
      </c>
      <c r="BX12" s="182"/>
      <c r="BY12" s="182">
        <v>8.856E-2</v>
      </c>
      <c r="BZ12" s="182"/>
      <c r="CA12" s="182"/>
      <c r="CB12" s="182"/>
      <c r="CC12" s="182"/>
      <c r="CD12" s="182"/>
      <c r="CE12" s="182"/>
      <c r="CF12" s="182"/>
      <c r="CG12" s="182"/>
      <c r="CH12" s="412">
        <f>SUM(B12:CG12)</f>
        <v>5.4490649999999992</v>
      </c>
      <c r="CI12" s="180">
        <f>SUM(CH8:CH20)</f>
        <v>32.364478999999996</v>
      </c>
      <c r="CJ12" s="248">
        <v>5.3240439999999989</v>
      </c>
      <c r="CK12" s="57"/>
      <c r="CL12" s="317">
        <f>CJ12-CH12</f>
        <v>-0.12502100000000027</v>
      </c>
    </row>
    <row r="13" spans="1:90" x14ac:dyDescent="0.35">
      <c r="A13" s="2"/>
      <c r="B13" s="26"/>
      <c r="C13" s="26"/>
      <c r="D13" s="26"/>
      <c r="E13" s="26"/>
      <c r="F13" s="26"/>
      <c r="G13" s="26"/>
      <c r="H13" s="26"/>
      <c r="I13" s="26"/>
      <c r="J13" s="26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36"/>
      <c r="CJ13" s="248"/>
      <c r="CK13" s="57"/>
      <c r="CL13" s="317"/>
    </row>
    <row r="14" spans="1:90" x14ac:dyDescent="0.35">
      <c r="A14" s="2" t="s">
        <v>185</v>
      </c>
      <c r="B14" s="26">
        <f>0.0603+0.117825</f>
        <v>0.17812500000000001</v>
      </c>
      <c r="C14" s="26">
        <v>0.81642300000000001</v>
      </c>
      <c r="D14" s="26">
        <v>0.63953599999999999</v>
      </c>
      <c r="E14" s="26">
        <v>0.62220900000000001</v>
      </c>
      <c r="F14" s="26">
        <v>1.1200000000000001</v>
      </c>
      <c r="G14" s="26">
        <v>0</v>
      </c>
      <c r="H14" s="26">
        <v>0</v>
      </c>
      <c r="I14" s="26"/>
      <c r="J14" s="26">
        <v>0</v>
      </c>
      <c r="K14" s="182"/>
      <c r="L14" s="182">
        <v>-3.4934E-2</v>
      </c>
      <c r="M14" s="182"/>
      <c r="N14" s="182"/>
      <c r="O14" s="182"/>
      <c r="P14" s="182"/>
      <c r="Q14" s="182">
        <f>0.029537+0.043843</f>
        <v>7.3380000000000001E-2</v>
      </c>
      <c r="R14" s="182">
        <v>7.0000000000000001E-3</v>
      </c>
      <c r="S14" s="182">
        <v>6.7000000000000002E-3</v>
      </c>
      <c r="T14" s="182">
        <v>3.0800000000000001E-2</v>
      </c>
      <c r="U14" s="182">
        <v>5.8849999999999996E-3</v>
      </c>
      <c r="V14" s="182">
        <v>0.01</v>
      </c>
      <c r="W14" s="182"/>
      <c r="X14" s="182"/>
      <c r="Y14" s="182"/>
      <c r="Z14" s="182"/>
      <c r="AA14" s="182"/>
      <c r="AB14" s="182">
        <v>1.7999999999999999E-2</v>
      </c>
      <c r="AC14" s="182">
        <v>5.7000000000000002E-2</v>
      </c>
      <c r="AD14" s="182"/>
      <c r="AE14" s="182"/>
      <c r="AF14" s="182"/>
      <c r="AG14" s="182"/>
      <c r="AH14" s="182"/>
      <c r="AI14" s="182">
        <v>-6.9829999999999996E-3</v>
      </c>
      <c r="AJ14" s="182">
        <v>7.7499999999999999E-3</v>
      </c>
      <c r="AK14" s="182"/>
      <c r="AL14" s="182"/>
      <c r="AM14" s="182"/>
      <c r="AN14" s="182"/>
      <c r="AO14" s="182">
        <v>1.4914E-2</v>
      </c>
      <c r="AP14" s="182">
        <v>8.5500000000000007E-2</v>
      </c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>
        <v>7.6886999999999997E-2</v>
      </c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>
        <v>2.6047000000000001E-2</v>
      </c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412">
        <f>SUM(B14:CG14)</f>
        <v>3.7542390000000014</v>
      </c>
      <c r="CJ14" s="248">
        <v>3.7281920000000013</v>
      </c>
      <c r="CK14" s="57"/>
      <c r="CL14" s="317">
        <f>CJ14-CH14</f>
        <v>-2.6047000000000153E-2</v>
      </c>
    </row>
    <row r="15" spans="1:90" x14ac:dyDescent="0.35">
      <c r="A15" s="1"/>
      <c r="B15" s="178"/>
      <c r="C15" s="178"/>
      <c r="D15" s="178"/>
      <c r="E15" s="178"/>
      <c r="F15" s="178"/>
      <c r="G15" s="178"/>
      <c r="H15" s="178"/>
      <c r="I15" s="178"/>
      <c r="J15" s="178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36"/>
      <c r="CJ15" s="249"/>
      <c r="CK15" s="57"/>
      <c r="CL15" s="317"/>
    </row>
    <row r="16" spans="1:90" x14ac:dyDescent="0.35">
      <c r="A16" s="2" t="s">
        <v>23</v>
      </c>
      <c r="B16" s="26">
        <v>0.22966400000000001</v>
      </c>
      <c r="C16" s="26">
        <v>1.0558380000000001</v>
      </c>
      <c r="D16" s="26">
        <v>1.1668179999999999</v>
      </c>
      <c r="E16" s="26">
        <v>0.28273399999999999</v>
      </c>
      <c r="F16" s="26">
        <v>1.1279999999999999</v>
      </c>
      <c r="G16" s="26">
        <v>0</v>
      </c>
      <c r="H16" s="26">
        <v>0</v>
      </c>
      <c r="I16" s="26"/>
      <c r="J16" s="26">
        <v>0</v>
      </c>
      <c r="K16" s="182"/>
      <c r="L16" s="182"/>
      <c r="M16" s="182"/>
      <c r="N16" s="182"/>
      <c r="O16" s="182"/>
      <c r="P16" s="182"/>
      <c r="Q16" s="182"/>
      <c r="R16" s="182">
        <v>7.0000000000000001E-3</v>
      </c>
      <c r="S16" s="182">
        <v>7.3000000000000001E-3</v>
      </c>
      <c r="T16" s="182">
        <v>3.0800000000000001E-2</v>
      </c>
      <c r="U16" s="182">
        <v>5.8849999999999996E-3</v>
      </c>
      <c r="V16" s="182">
        <v>0.01</v>
      </c>
      <c r="W16" s="182">
        <v>-4.8947999999999998E-2</v>
      </c>
      <c r="X16" s="182"/>
      <c r="Y16" s="182"/>
      <c r="Z16" s="182"/>
      <c r="AA16" s="182"/>
      <c r="AB16" s="182">
        <v>1.7999999999999999E-2</v>
      </c>
      <c r="AC16" s="182">
        <v>6.8000000000000005E-2</v>
      </c>
      <c r="AD16" s="182"/>
      <c r="AE16" s="182"/>
      <c r="AF16" s="182"/>
      <c r="AG16" s="182"/>
      <c r="AH16" s="182">
        <v>-2.0611999999999998E-2</v>
      </c>
      <c r="AI16" s="182"/>
      <c r="AJ16" s="182">
        <v>9.8689999999999993E-3</v>
      </c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>
        <v>1.7648E-2</v>
      </c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412">
        <f>SUM(B16:CG16)</f>
        <v>3.9679959999999999</v>
      </c>
      <c r="CJ16" s="248">
        <v>3.950348</v>
      </c>
      <c r="CK16" s="57"/>
      <c r="CL16" s="317">
        <f>CJ16-CH16</f>
        <v>-1.7647999999999886E-2</v>
      </c>
    </row>
    <row r="17" spans="1:90" x14ac:dyDescent="0.35">
      <c r="A17" s="2"/>
      <c r="B17" s="26"/>
      <c r="C17" s="26"/>
      <c r="D17" s="26"/>
      <c r="E17" s="26"/>
      <c r="F17" s="26"/>
      <c r="G17" s="26"/>
      <c r="H17" s="26"/>
      <c r="I17" s="26"/>
      <c r="J17" s="26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36"/>
      <c r="CJ17" s="248"/>
      <c r="CK17" s="57"/>
      <c r="CL17" s="317"/>
    </row>
    <row r="18" spans="1:90" x14ac:dyDescent="0.35">
      <c r="A18" s="2" t="s">
        <v>22</v>
      </c>
      <c r="B18" s="26">
        <v>6.4367999999999995E-2</v>
      </c>
      <c r="C18" s="26">
        <v>0.170741</v>
      </c>
      <c r="D18" s="26">
        <v>0.253917</v>
      </c>
      <c r="E18" s="26">
        <v>9.3273999999999996E-2</v>
      </c>
      <c r="F18" s="26">
        <v>0.40300000000000002</v>
      </c>
      <c r="G18" s="26">
        <v>0</v>
      </c>
      <c r="H18" s="26">
        <v>0</v>
      </c>
      <c r="I18" s="26"/>
      <c r="J18" s="26">
        <v>0</v>
      </c>
      <c r="K18" s="182"/>
      <c r="L18" s="182">
        <v>-4.1567E-2</v>
      </c>
      <c r="M18" s="182"/>
      <c r="N18" s="182"/>
      <c r="O18" s="182"/>
      <c r="P18" s="182"/>
      <c r="Q18" s="182"/>
      <c r="R18" s="182">
        <v>7.0000000000000001E-3</v>
      </c>
      <c r="S18" s="182">
        <v>1.4E-3</v>
      </c>
      <c r="T18" s="182">
        <v>7.7000000000000002E-3</v>
      </c>
      <c r="U18" s="182">
        <v>1.9610000000000001E-3</v>
      </c>
      <c r="V18" s="182">
        <v>0.01</v>
      </c>
      <c r="W18" s="182">
        <v>-1.4865E-2</v>
      </c>
      <c r="X18" s="182"/>
      <c r="Y18" s="182"/>
      <c r="Z18" s="182"/>
      <c r="AA18" s="182"/>
      <c r="AB18" s="182">
        <v>1.7999999999999999E-2</v>
      </c>
      <c r="AC18" s="182">
        <v>2.2577E-2</v>
      </c>
      <c r="AD18" s="182"/>
      <c r="AE18" s="182"/>
      <c r="AF18" s="182"/>
      <c r="AG18" s="182"/>
      <c r="AH18" s="182"/>
      <c r="AI18" s="182"/>
      <c r="AJ18" s="182">
        <v>3.5130000000000001E-3</v>
      </c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>
        <v>8.9540000000000002E-3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412">
        <f>SUM(B18:CG18)</f>
        <v>1.009973</v>
      </c>
      <c r="CJ18" s="248">
        <v>1.0014420000000002</v>
      </c>
      <c r="CK18" s="57"/>
      <c r="CL18" s="317">
        <f>CJ18-CH18</f>
        <v>-8.5309999999998443E-3</v>
      </c>
    </row>
    <row r="19" spans="1:90" x14ac:dyDescent="0.3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412"/>
      <c r="CJ19" s="248"/>
      <c r="CK19" s="57"/>
      <c r="CL19" s="317"/>
    </row>
    <row r="20" spans="1:90" x14ac:dyDescent="0.35">
      <c r="A20" s="2" t="s">
        <v>186</v>
      </c>
      <c r="B20" s="26">
        <v>0.313581</v>
      </c>
      <c r="C20" s="26">
        <v>1.6711020000000001</v>
      </c>
      <c r="D20" s="26">
        <v>1.0533859999999999</v>
      </c>
      <c r="E20" s="26">
        <v>1.614217</v>
      </c>
      <c r="F20" s="26">
        <v>1.5049999999999999</v>
      </c>
      <c r="G20" s="26">
        <v>0</v>
      </c>
      <c r="H20" s="26">
        <v>0</v>
      </c>
      <c r="I20" s="26"/>
      <c r="J20" s="26">
        <v>0</v>
      </c>
      <c r="K20" s="182"/>
      <c r="L20" s="182"/>
      <c r="M20" s="182"/>
      <c r="N20" s="182"/>
      <c r="O20" s="182"/>
      <c r="P20" s="182"/>
      <c r="Q20" s="182"/>
      <c r="R20" s="182">
        <v>7.0000000000000001E-3</v>
      </c>
      <c r="S20" s="182">
        <v>1.2699999999999999E-2</v>
      </c>
      <c r="T20" s="182">
        <v>5.3900000000000003E-2</v>
      </c>
      <c r="U20" s="182">
        <v>8.8269999999999998E-3</v>
      </c>
      <c r="V20" s="182">
        <v>0.01</v>
      </c>
      <c r="W20" s="182"/>
      <c r="X20" s="182"/>
      <c r="Y20" s="182">
        <f>-0.04+-0.022133+0.044266+0.037775+0.082041</f>
        <v>0.10194900000000001</v>
      </c>
      <c r="Z20" s="182"/>
      <c r="AA20" s="182"/>
      <c r="AB20" s="182">
        <v>1.7999999999999999E-2</v>
      </c>
      <c r="AC20" s="182">
        <v>9.7000000000000003E-2</v>
      </c>
      <c r="AD20" s="182"/>
      <c r="AE20" s="182"/>
      <c r="AF20" s="182"/>
      <c r="AG20" s="182"/>
      <c r="AH20" s="182"/>
      <c r="AI20" s="182"/>
      <c r="AJ20" s="182">
        <v>1.3589E-2</v>
      </c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>
        <v>2.7682999999999999E-2</v>
      </c>
      <c r="BT20" s="182">
        <v>0.124848</v>
      </c>
      <c r="BU20" s="182">
        <v>5.2289000000000002E-2</v>
      </c>
      <c r="BV20" s="182">
        <v>3.0672999999999999E-2</v>
      </c>
      <c r="BW20" s="182">
        <v>1.9056E-2</v>
      </c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412">
        <f>SUM(B20:CG20)</f>
        <v>6.734799999999999</v>
      </c>
      <c r="CJ20" s="248">
        <v>6.4802509999999991</v>
      </c>
      <c r="CK20" s="57"/>
      <c r="CL20" s="317">
        <f>CJ20-CH20</f>
        <v>-0.25454899999999991</v>
      </c>
    </row>
    <row r="21" spans="1:90" x14ac:dyDescent="0.35">
      <c r="A21" s="2"/>
      <c r="B21" s="26"/>
      <c r="C21" s="26"/>
      <c r="D21" s="26"/>
      <c r="E21" s="26"/>
      <c r="F21" s="26"/>
      <c r="G21" s="26"/>
      <c r="H21" s="26"/>
      <c r="I21" s="26"/>
      <c r="J21" s="26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36"/>
      <c r="CJ21" s="187"/>
      <c r="CK21" s="57"/>
      <c r="CL21" s="317"/>
    </row>
    <row r="22" spans="1:90" x14ac:dyDescent="0.35">
      <c r="A22" s="2" t="s">
        <v>36</v>
      </c>
      <c r="B22" s="26">
        <v>0</v>
      </c>
      <c r="C22" s="26">
        <v>0</v>
      </c>
      <c r="D22" s="26">
        <v>0</v>
      </c>
      <c r="E22" s="26">
        <v>0</v>
      </c>
      <c r="F22" s="26">
        <v>-2.8202000000000001E-2</v>
      </c>
      <c r="G22" s="26">
        <v>0</v>
      </c>
      <c r="H22" s="26">
        <v>0</v>
      </c>
      <c r="I22" s="26"/>
      <c r="J22" s="26">
        <v>0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412">
        <f>SUM(B22:CG22)</f>
        <v>-2.8202000000000001E-2</v>
      </c>
      <c r="CJ22" s="187"/>
      <c r="CK22" s="57"/>
      <c r="CL22" s="317"/>
    </row>
    <row r="23" spans="1:90" x14ac:dyDescent="0.35">
      <c r="A23" s="2"/>
      <c r="B23" s="26"/>
      <c r="C23" s="26"/>
      <c r="D23" s="26"/>
      <c r="E23" s="26"/>
      <c r="F23" s="26"/>
      <c r="G23" s="26"/>
      <c r="H23" s="26"/>
      <c r="I23" s="26"/>
      <c r="J23" s="26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36"/>
      <c r="CJ23" s="187"/>
      <c r="CK23" s="57"/>
      <c r="CL23" s="317"/>
    </row>
    <row r="24" spans="1:90" x14ac:dyDescent="0.35">
      <c r="A24" s="2" t="s">
        <v>51</v>
      </c>
      <c r="B24" s="26">
        <v>0</v>
      </c>
      <c r="C24" s="26">
        <v>0</v>
      </c>
      <c r="D24" s="26">
        <v>0</v>
      </c>
      <c r="E24" s="26">
        <v>1.5193620000000001</v>
      </c>
      <c r="F24" s="26">
        <v>0.26986599999999999</v>
      </c>
      <c r="G24" s="26">
        <v>5.9598240000000002</v>
      </c>
      <c r="H24" s="26">
        <v>2.0610000000000004</v>
      </c>
      <c r="I24" s="26">
        <v>0.58499999999999996</v>
      </c>
      <c r="J24" s="26">
        <v>3.5438000000000001</v>
      </c>
      <c r="K24" s="182">
        <v>0.35203000000000001</v>
      </c>
      <c r="L24" s="182"/>
      <c r="M24" s="182">
        <f>3.086+82.242+0.511-0.195+2.651</f>
        <v>88.295000000000002</v>
      </c>
      <c r="N24" s="182">
        <v>8.4699999999999998E-2</v>
      </c>
      <c r="O24" s="182">
        <v>-0.22900000000000001</v>
      </c>
      <c r="P24" s="182">
        <f>0.788721-0.088721+0.04</f>
        <v>0.74</v>
      </c>
      <c r="Q24" s="182"/>
      <c r="R24" s="182"/>
      <c r="S24" s="182"/>
      <c r="T24" s="182"/>
      <c r="U24" s="182"/>
      <c r="V24" s="182"/>
      <c r="W24" s="182"/>
      <c r="X24" s="182">
        <f>0.041+0.462+1.466</f>
        <v>1.9689999999999999</v>
      </c>
      <c r="Y24" s="182"/>
      <c r="Z24" s="240">
        <v>0.10100000000000001</v>
      </c>
      <c r="AA24" s="182">
        <f>0.04-0.0145-0.212568-0.106965+0.0065+0.0914+0.04</f>
        <v>-0.15613299999999999</v>
      </c>
      <c r="AB24" s="182"/>
      <c r="AC24" s="182"/>
      <c r="AD24" s="182">
        <v>0.27975</v>
      </c>
      <c r="AE24" s="182"/>
      <c r="AF24" s="182">
        <v>1.028</v>
      </c>
      <c r="AG24" s="182">
        <v>0.495</v>
      </c>
      <c r="AH24" s="182"/>
      <c r="AI24" s="182"/>
      <c r="AJ24" s="182"/>
      <c r="AK24" s="182"/>
      <c r="AL24" s="182"/>
      <c r="AM24" s="182"/>
      <c r="AN24" s="182"/>
      <c r="AO24" s="182"/>
      <c r="AP24" s="182"/>
      <c r="AQ24" s="182">
        <v>0.1</v>
      </c>
      <c r="AR24" s="182">
        <v>2.4E-2</v>
      </c>
      <c r="AS24" s="182">
        <v>2.5000000000000001E-2</v>
      </c>
      <c r="AT24" s="182">
        <v>2.5000000000000001E-2</v>
      </c>
      <c r="AU24" s="182">
        <v>-85.403999999999996</v>
      </c>
      <c r="AV24" s="182">
        <v>1.0680000000000001</v>
      </c>
      <c r="AW24" s="182">
        <v>0.39820499999999998</v>
      </c>
      <c r="AX24" s="182">
        <f>-(0.99+0.37+0.018)</f>
        <v>-1.3779999999999999</v>
      </c>
      <c r="AY24" s="182">
        <v>0.22408400000000001</v>
      </c>
      <c r="AZ24" s="182">
        <v>1.0740000000000001</v>
      </c>
      <c r="BA24" s="182">
        <v>1.9339999999999999</v>
      </c>
      <c r="BB24" s="182">
        <v>0.02</v>
      </c>
      <c r="BC24" s="182">
        <v>0.3</v>
      </c>
      <c r="BD24" s="182">
        <v>7.1901000000000007E-2</v>
      </c>
      <c r="BE24" s="182"/>
      <c r="BF24" s="182">
        <v>7.8E-2</v>
      </c>
      <c r="BG24" s="182">
        <v>1.1439999999999999</v>
      </c>
      <c r="BH24" s="182">
        <v>0.79</v>
      </c>
      <c r="BI24" s="182"/>
      <c r="BJ24" s="182"/>
      <c r="BK24" s="182">
        <v>1.1000000000000001</v>
      </c>
      <c r="BL24" s="182">
        <v>2.9819999999999998E-3</v>
      </c>
      <c r="BM24" s="182">
        <v>4.8658E-2</v>
      </c>
      <c r="BN24" s="182">
        <v>0.27700000000000002</v>
      </c>
      <c r="BO24" s="182">
        <v>6.2920000000000004E-2</v>
      </c>
      <c r="BP24" s="182">
        <v>0.110064</v>
      </c>
      <c r="BQ24" s="182">
        <v>1.2170000000000001</v>
      </c>
      <c r="BR24" s="182">
        <v>7.4325000000000002E-2</v>
      </c>
      <c r="BS24" s="182"/>
      <c r="BT24" s="182"/>
      <c r="BU24" s="182"/>
      <c r="BV24" s="182"/>
      <c r="BW24" s="182"/>
      <c r="BX24" s="182"/>
      <c r="BY24" s="182"/>
      <c r="BZ24" s="182">
        <v>7.6904E-2</v>
      </c>
      <c r="CA24" s="182">
        <v>0.25</v>
      </c>
      <c r="CB24" s="182">
        <v>0.76</v>
      </c>
      <c r="CC24" s="182">
        <v>5.1999999999999998E-2</v>
      </c>
      <c r="CD24" s="182">
        <v>8.4000000000000005E-2</v>
      </c>
      <c r="CE24" s="182">
        <v>0.27200000000000002</v>
      </c>
      <c r="CF24" s="182">
        <v>1.7949999999999999</v>
      </c>
      <c r="CG24" s="182">
        <v>1.395</v>
      </c>
      <c r="CH24" s="412">
        <f>SUM(B24:CG24)</f>
        <v>34.97024200000002</v>
      </c>
      <c r="CJ24" s="187"/>
      <c r="CK24" s="57"/>
      <c r="CL24" s="317"/>
    </row>
    <row r="25" spans="1:90" x14ac:dyDescent="0.35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36"/>
      <c r="CJ25" s="187"/>
      <c r="CK25" s="57"/>
      <c r="CL25" s="317"/>
    </row>
    <row r="26" spans="1:90" x14ac:dyDescent="0.35">
      <c r="A26" s="2" t="s">
        <v>122</v>
      </c>
      <c r="B26" s="256">
        <f t="shared" ref="B26:AG26" si="21">B20+B8+B10+B12+B14+B16+B18+B22+B24</f>
        <v>1.6691220000000002</v>
      </c>
      <c r="C26" s="256">
        <f t="shared" si="21"/>
        <v>7.9883069999999989</v>
      </c>
      <c r="D26" s="256">
        <f t="shared" si="21"/>
        <v>8.1415259999999989</v>
      </c>
      <c r="E26" s="256">
        <f t="shared" si="21"/>
        <v>5.4023450000000004</v>
      </c>
      <c r="F26" s="256">
        <f t="shared" si="21"/>
        <v>8.8778389999999998</v>
      </c>
      <c r="G26" s="256">
        <f t="shared" si="21"/>
        <v>5.9598240000000002</v>
      </c>
      <c r="H26" s="256">
        <f t="shared" si="21"/>
        <v>2.0610000000000004</v>
      </c>
      <c r="I26" s="256">
        <f t="shared" si="21"/>
        <v>0.58499999999999996</v>
      </c>
      <c r="J26" s="256">
        <f t="shared" si="21"/>
        <v>3.5438000000000001</v>
      </c>
      <c r="K26" s="256">
        <f t="shared" si="21"/>
        <v>0.35203000000000001</v>
      </c>
      <c r="L26" s="256">
        <f t="shared" si="21"/>
        <v>-0.15880900000000001</v>
      </c>
      <c r="M26" s="256">
        <f t="shared" si="21"/>
        <v>88.295000000000002</v>
      </c>
      <c r="N26" s="256">
        <f t="shared" si="21"/>
        <v>8.4699999999999998E-2</v>
      </c>
      <c r="O26" s="256">
        <f t="shared" si="21"/>
        <v>-0.22900000000000001</v>
      </c>
      <c r="P26" s="256">
        <f t="shared" si="21"/>
        <v>0.74</v>
      </c>
      <c r="Q26" s="256">
        <f t="shared" si="21"/>
        <v>7.3380000000000001E-2</v>
      </c>
      <c r="R26" s="256">
        <f t="shared" si="21"/>
        <v>4.9000000000000002E-2</v>
      </c>
      <c r="S26" s="256">
        <f t="shared" si="21"/>
        <v>6.3600000000000004E-2</v>
      </c>
      <c r="T26" s="256">
        <f t="shared" si="21"/>
        <v>0.28489999999999999</v>
      </c>
      <c r="U26" s="256">
        <f t="shared" si="21"/>
        <v>4.9038999999999999E-2</v>
      </c>
      <c r="V26" s="256">
        <f t="shared" si="21"/>
        <v>7.0000000000000007E-2</v>
      </c>
      <c r="W26" s="256">
        <f t="shared" si="21"/>
        <v>-6.3812999999999995E-2</v>
      </c>
      <c r="X26" s="256">
        <f t="shared" si="21"/>
        <v>1.9689999999999999</v>
      </c>
      <c r="Y26" s="256">
        <f t="shared" si="21"/>
        <v>0.10194900000000001</v>
      </c>
      <c r="Z26" s="256">
        <f t="shared" si="21"/>
        <v>0.10100000000000001</v>
      </c>
      <c r="AA26" s="256">
        <f t="shared" si="21"/>
        <v>-0.15613299999999999</v>
      </c>
      <c r="AB26" s="256">
        <f t="shared" si="21"/>
        <v>0.126</v>
      </c>
      <c r="AC26" s="256">
        <f t="shared" si="21"/>
        <v>0.52157699999999996</v>
      </c>
      <c r="AD26" s="256">
        <f t="shared" si="21"/>
        <v>0.27975</v>
      </c>
      <c r="AE26" s="256">
        <f t="shared" si="21"/>
        <v>3.1E-2</v>
      </c>
      <c r="AF26" s="256">
        <f t="shared" si="21"/>
        <v>1.028</v>
      </c>
      <c r="AG26" s="256">
        <f t="shared" si="21"/>
        <v>0.495</v>
      </c>
      <c r="AH26" s="256">
        <f t="shared" ref="AH26:CG26" si="22">AH20+AH8+AH10+AH12+AH14+AH16+AH18+AH22+AH24</f>
        <v>-2.0611999999999998E-2</v>
      </c>
      <c r="AI26" s="256">
        <f t="shared" si="22"/>
        <v>-1.3965999999999999E-2</v>
      </c>
      <c r="AJ26" s="256">
        <f t="shared" si="22"/>
        <v>7.9905000000000004E-2</v>
      </c>
      <c r="AK26" s="256">
        <f t="shared" si="22"/>
        <v>4.4448000000000001E-2</v>
      </c>
      <c r="AL26" s="256">
        <f t="shared" si="22"/>
        <v>2.4303000000000002E-2</v>
      </c>
      <c r="AM26" s="256">
        <f t="shared" si="22"/>
        <v>6.1020999999999999E-2</v>
      </c>
      <c r="AN26" s="256">
        <f t="shared" si="22"/>
        <v>1.2152E-2</v>
      </c>
      <c r="AO26" s="256">
        <f t="shared" si="22"/>
        <v>1.4914E-2</v>
      </c>
      <c r="AP26" s="256">
        <f t="shared" si="22"/>
        <v>8.5500000000000007E-2</v>
      </c>
      <c r="AQ26" s="256">
        <f t="shared" si="22"/>
        <v>0.1</v>
      </c>
      <c r="AR26" s="256">
        <f t="shared" si="22"/>
        <v>2.4E-2</v>
      </c>
      <c r="AS26" s="256">
        <f t="shared" si="22"/>
        <v>2.5000000000000001E-2</v>
      </c>
      <c r="AT26" s="256">
        <f t="shared" si="22"/>
        <v>2.5000000000000001E-2</v>
      </c>
      <c r="AU26" s="256">
        <f t="shared" si="22"/>
        <v>-85.403999999999996</v>
      </c>
      <c r="AV26" s="256">
        <f t="shared" si="22"/>
        <v>1.0680000000000001</v>
      </c>
      <c r="AW26" s="256">
        <f t="shared" si="22"/>
        <v>0.39820499999999998</v>
      </c>
      <c r="AX26" s="256">
        <f t="shared" si="22"/>
        <v>-1.3779999999999999</v>
      </c>
      <c r="AY26" s="256">
        <f t="shared" si="22"/>
        <v>0.22408400000000001</v>
      </c>
      <c r="AZ26" s="256">
        <f t="shared" si="22"/>
        <v>1.0740000000000001</v>
      </c>
      <c r="BA26" s="256">
        <f t="shared" si="22"/>
        <v>1.9339999999999999</v>
      </c>
      <c r="BB26" s="256">
        <f t="shared" si="22"/>
        <v>0.02</v>
      </c>
      <c r="BC26" s="256">
        <f t="shared" si="22"/>
        <v>0.3</v>
      </c>
      <c r="BD26" s="256">
        <f t="shared" si="22"/>
        <v>7.1901000000000007E-2</v>
      </c>
      <c r="BE26" s="256">
        <f t="shared" si="22"/>
        <v>1.0586999999999999E-2</v>
      </c>
      <c r="BF26" s="256">
        <f t="shared" si="22"/>
        <v>7.8E-2</v>
      </c>
      <c r="BG26" s="256">
        <f t="shared" si="22"/>
        <v>1.1439999999999999</v>
      </c>
      <c r="BH26" s="256">
        <f t="shared" si="22"/>
        <v>0.79</v>
      </c>
      <c r="BI26" s="256">
        <f t="shared" si="22"/>
        <v>3.6999999999999998E-2</v>
      </c>
      <c r="BJ26" s="256">
        <f t="shared" si="22"/>
        <v>7.6886999999999997E-2</v>
      </c>
      <c r="BK26" s="256">
        <f t="shared" si="22"/>
        <v>1.1000000000000001</v>
      </c>
      <c r="BL26" s="256">
        <f t="shared" si="22"/>
        <v>2.9819999999999998E-3</v>
      </c>
      <c r="BM26" s="256">
        <f t="shared" si="22"/>
        <v>4.8658E-2</v>
      </c>
      <c r="BN26" s="256">
        <f t="shared" si="22"/>
        <v>0.27700000000000002</v>
      </c>
      <c r="BO26" s="256">
        <f t="shared" si="22"/>
        <v>6.2920000000000004E-2</v>
      </c>
      <c r="BP26" s="256">
        <f t="shared" si="22"/>
        <v>0.110064</v>
      </c>
      <c r="BQ26" s="256">
        <f t="shared" si="22"/>
        <v>1.2170000000000001</v>
      </c>
      <c r="BR26" s="401">
        <f t="shared" si="22"/>
        <v>7.4325000000000002E-2</v>
      </c>
      <c r="BS26" s="401">
        <f t="shared" si="22"/>
        <v>2.7682999999999999E-2</v>
      </c>
      <c r="BT26" s="401">
        <f t="shared" si="22"/>
        <v>0.124848</v>
      </c>
      <c r="BU26" s="401">
        <f t="shared" si="22"/>
        <v>5.2289000000000002E-2</v>
      </c>
      <c r="BV26" s="401">
        <f t="shared" si="22"/>
        <v>3.0672999999999999E-2</v>
      </c>
      <c r="BW26" s="401">
        <f t="shared" si="22"/>
        <v>0.162351</v>
      </c>
      <c r="BX26" s="401">
        <f t="shared" si="22"/>
        <v>0</v>
      </c>
      <c r="BY26" s="401">
        <f t="shared" si="22"/>
        <v>8.856E-2</v>
      </c>
      <c r="BZ26" s="401">
        <f t="shared" si="22"/>
        <v>7.6904E-2</v>
      </c>
      <c r="CA26" s="401">
        <f t="shared" si="22"/>
        <v>0.25</v>
      </c>
      <c r="CB26" s="401">
        <f t="shared" si="22"/>
        <v>0.76</v>
      </c>
      <c r="CC26" s="401">
        <f t="shared" si="22"/>
        <v>5.1999999999999998E-2</v>
      </c>
      <c r="CD26" s="401">
        <f t="shared" si="22"/>
        <v>8.4000000000000005E-2</v>
      </c>
      <c r="CE26" s="401">
        <f t="shared" si="22"/>
        <v>0.27200000000000002</v>
      </c>
      <c r="CF26" s="401">
        <f t="shared" si="22"/>
        <v>1.7949999999999999</v>
      </c>
      <c r="CG26" s="401">
        <f t="shared" si="22"/>
        <v>1.395</v>
      </c>
      <c r="CH26" s="414">
        <f>SUM(B26:CG26)</f>
        <v>67.306518999999938</v>
      </c>
      <c r="CJ26" s="187"/>
      <c r="CK26" s="57"/>
      <c r="CL26" s="317"/>
    </row>
    <row r="27" spans="1:90" x14ac:dyDescent="0.35">
      <c r="A27" s="2"/>
      <c r="B27" s="26"/>
      <c r="C27" s="26"/>
      <c r="D27" s="26"/>
      <c r="E27" s="26"/>
      <c r="F27" s="26"/>
      <c r="G27" s="26"/>
      <c r="H27" s="26"/>
      <c r="I27" s="26"/>
      <c r="J27" s="26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36"/>
      <c r="CJ27" s="187"/>
      <c r="CK27" s="57"/>
      <c r="CL27" s="317"/>
    </row>
    <row r="28" spans="1:90" x14ac:dyDescent="0.35">
      <c r="A28" s="2"/>
      <c r="B28" s="26"/>
      <c r="C28" s="26"/>
      <c r="D28" s="26"/>
      <c r="E28" s="26"/>
      <c r="F28" s="26"/>
      <c r="G28" s="26"/>
      <c r="H28" s="26"/>
      <c r="I28" s="26"/>
      <c r="J28" s="26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36"/>
      <c r="CJ28" s="187"/>
      <c r="CK28" s="57"/>
      <c r="CL28" s="317"/>
    </row>
    <row r="29" spans="1:90" x14ac:dyDescent="0.35">
      <c r="A29" s="2" t="s">
        <v>46</v>
      </c>
      <c r="B29" s="26">
        <v>7.3369000000000004E-2</v>
      </c>
      <c r="C29" s="26">
        <v>0.47622199999999998</v>
      </c>
      <c r="D29" s="26">
        <v>0</v>
      </c>
      <c r="E29" s="26">
        <v>4.4997000000000002E-2</v>
      </c>
      <c r="F29" s="26">
        <v>0</v>
      </c>
      <c r="G29" s="26">
        <v>0</v>
      </c>
      <c r="H29" s="26">
        <v>0</v>
      </c>
      <c r="I29" s="26"/>
      <c r="J29" s="26">
        <v>0</v>
      </c>
      <c r="K29" s="182"/>
      <c r="L29" s="182"/>
      <c r="M29" s="182"/>
      <c r="N29" s="182"/>
      <c r="O29" s="182"/>
      <c r="P29" s="182"/>
      <c r="Q29" s="182"/>
      <c r="R29" s="182">
        <v>7.0000000000000001E-3</v>
      </c>
      <c r="S29" s="182">
        <v>2.7000000000000001E-3</v>
      </c>
      <c r="T29" s="182">
        <v>7.7000000000000002E-3</v>
      </c>
      <c r="U29" s="182"/>
      <c r="V29" s="182">
        <v>0.01</v>
      </c>
      <c r="W29" s="182"/>
      <c r="X29" s="182"/>
      <c r="Y29" s="182"/>
      <c r="Z29" s="182"/>
      <c r="AA29" s="182"/>
      <c r="AB29" s="182">
        <v>1.7999999999999999E-2</v>
      </c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>
        <v>1.6045E-2</v>
      </c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412">
        <f>SUM(B29:CG29)</f>
        <v>0.65603299999999998</v>
      </c>
      <c r="CJ29" s="187"/>
      <c r="CK29" s="57"/>
      <c r="CL29" s="317"/>
    </row>
    <row r="30" spans="1:90" x14ac:dyDescent="0.35">
      <c r="A30" s="2"/>
      <c r="B30" s="26"/>
      <c r="C30" s="26"/>
      <c r="D30" s="26"/>
      <c r="E30" s="26"/>
      <c r="F30" s="26"/>
      <c r="G30" s="26"/>
      <c r="H30" s="26"/>
      <c r="I30" s="26"/>
      <c r="J30" s="26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36"/>
      <c r="CJ30" s="187"/>
      <c r="CK30" s="57"/>
      <c r="CL30" s="317"/>
    </row>
    <row r="31" spans="1:90" x14ac:dyDescent="0.35">
      <c r="A31" s="2" t="s">
        <v>47</v>
      </c>
      <c r="B31" s="26">
        <v>4.7E-2</v>
      </c>
      <c r="C31" s="26">
        <f>0.186864-0.035297</f>
        <v>0.15156700000000001</v>
      </c>
      <c r="D31" s="26">
        <f>0.477819-0.242831</f>
        <v>0.234988</v>
      </c>
      <c r="E31" s="26">
        <v>0.105527</v>
      </c>
      <c r="F31" s="26">
        <v>0</v>
      </c>
      <c r="G31" s="26">
        <v>0</v>
      </c>
      <c r="H31" s="26">
        <v>0</v>
      </c>
      <c r="I31" s="26"/>
      <c r="J31" s="26">
        <v>0</v>
      </c>
      <c r="K31" s="182"/>
      <c r="L31" s="182"/>
      <c r="M31" s="182"/>
      <c r="N31" s="182"/>
      <c r="O31" s="182"/>
      <c r="P31" s="240">
        <f>0.088721</f>
        <v>8.8720999999999994E-2</v>
      </c>
      <c r="Q31" s="182"/>
      <c r="R31" s="182">
        <v>7.0000000000000001E-3</v>
      </c>
      <c r="S31" s="182">
        <v>2.5000000000000001E-3</v>
      </c>
      <c r="T31" s="182">
        <v>7.7000000000000002E-3</v>
      </c>
      <c r="U31" s="182">
        <v>1.9610000000000001E-3</v>
      </c>
      <c r="V31" s="182">
        <v>0.01</v>
      </c>
      <c r="W31" s="182">
        <v>-8.8720999999999994E-2</v>
      </c>
      <c r="X31" s="182"/>
      <c r="Y31" s="182"/>
      <c r="Z31" s="182"/>
      <c r="AA31" s="182"/>
      <c r="AB31" s="182">
        <v>1.7999999999999999E-2</v>
      </c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>
        <v>1.0170999999999999E-2</v>
      </c>
      <c r="BX31" s="182">
        <v>-6.9315000000000002E-2</v>
      </c>
      <c r="BY31" s="182"/>
      <c r="BZ31" s="182"/>
      <c r="CA31" s="182"/>
      <c r="CB31" s="182"/>
      <c r="CC31" s="182"/>
      <c r="CD31" s="182"/>
      <c r="CE31" s="182"/>
      <c r="CF31" s="182"/>
      <c r="CG31" s="182"/>
      <c r="CH31" s="412">
        <f>SUM(B31:CG31)</f>
        <v>0.5270990000000001</v>
      </c>
      <c r="CJ31" s="187"/>
      <c r="CK31" s="57"/>
      <c r="CL31" s="317"/>
    </row>
    <row r="32" spans="1:90" x14ac:dyDescent="0.35">
      <c r="A32" s="2"/>
      <c r="B32" s="26"/>
      <c r="C32" s="26"/>
      <c r="D32" s="26"/>
      <c r="E32" s="26"/>
      <c r="F32" s="26"/>
      <c r="G32" s="26"/>
      <c r="H32" s="26"/>
      <c r="I32" s="26"/>
      <c r="J32" s="26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36"/>
      <c r="CJ32" s="187"/>
      <c r="CK32" s="57"/>
      <c r="CL32" s="317"/>
    </row>
    <row r="33" spans="1:90" x14ac:dyDescent="0.35">
      <c r="A33" s="2" t="s">
        <v>48</v>
      </c>
      <c r="B33" s="26">
        <v>3.4250000000000003E-2</v>
      </c>
      <c r="C33" s="26">
        <f>0.079818+0.035297</f>
        <v>0.115115</v>
      </c>
      <c r="D33" s="26">
        <f>0.242831</f>
        <v>0.24283099999999999</v>
      </c>
      <c r="E33" s="26">
        <v>0</v>
      </c>
      <c r="F33" s="26">
        <v>0</v>
      </c>
      <c r="G33" s="26">
        <v>0</v>
      </c>
      <c r="H33" s="26">
        <v>0</v>
      </c>
      <c r="I33" s="26"/>
      <c r="J33" s="26">
        <v>0</v>
      </c>
      <c r="K33" s="182"/>
      <c r="L33" s="182"/>
      <c r="M33" s="182"/>
      <c r="N33" s="182"/>
      <c r="O33" s="182"/>
      <c r="P33" s="182"/>
      <c r="Q33" s="182"/>
      <c r="R33" s="182">
        <v>7.0000000000000001E-3</v>
      </c>
      <c r="S33" s="182">
        <v>1.1999999999999999E-3</v>
      </c>
      <c r="T33" s="182">
        <v>7.7000000000000002E-3</v>
      </c>
      <c r="U33" s="182"/>
      <c r="V33" s="182">
        <v>0.01</v>
      </c>
      <c r="W33" s="182"/>
      <c r="X33" s="182"/>
      <c r="Y33" s="182"/>
      <c r="Z33" s="182"/>
      <c r="AA33" s="182"/>
      <c r="AB33" s="182">
        <v>1.7999999999999999E-2</v>
      </c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>
        <v>8.9259999999999999E-3</v>
      </c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412">
        <f>SUM(B33:BQ33)</f>
        <v>0.43609599999999998</v>
      </c>
      <c r="CJ33" s="187"/>
      <c r="CK33" s="57"/>
      <c r="CL33" s="317"/>
    </row>
    <row r="34" spans="1:90" x14ac:dyDescent="0.35">
      <c r="A34" s="2"/>
      <c r="B34" s="26"/>
      <c r="C34" s="26"/>
      <c r="D34" s="26"/>
      <c r="E34" s="26"/>
      <c r="F34" s="26"/>
      <c r="G34" s="26"/>
      <c r="H34" s="26"/>
      <c r="I34" s="26"/>
      <c r="J34" s="26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412"/>
      <c r="CJ34" s="187"/>
      <c r="CK34" s="57"/>
      <c r="CL34" s="317"/>
    </row>
    <row r="35" spans="1:90" x14ac:dyDescent="0.35">
      <c r="A35" s="2" t="s">
        <v>198</v>
      </c>
      <c r="B35" s="26"/>
      <c r="C35" s="26"/>
      <c r="D35" s="26"/>
      <c r="E35" s="26"/>
      <c r="F35" s="26"/>
      <c r="G35" s="26"/>
      <c r="H35" s="26"/>
      <c r="I35" s="26"/>
      <c r="J35" s="26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>
        <v>1.1967E-2</v>
      </c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412">
        <f>SUM(B35:BQ35)</f>
        <v>0</v>
      </c>
      <c r="CJ35" s="187"/>
      <c r="CK35" s="57"/>
      <c r="CL35" s="317"/>
    </row>
    <row r="36" spans="1:90" x14ac:dyDescent="0.35">
      <c r="A36" s="2"/>
      <c r="B36" s="26"/>
      <c r="C36" s="26"/>
      <c r="D36" s="26"/>
      <c r="E36" s="26"/>
      <c r="F36" s="26"/>
      <c r="G36" s="26"/>
      <c r="H36" s="26"/>
      <c r="I36" s="26"/>
      <c r="J36" s="26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412"/>
      <c r="CJ36" s="187"/>
      <c r="CK36" s="57"/>
      <c r="CL36" s="317"/>
    </row>
    <row r="37" spans="1:90" x14ac:dyDescent="0.35">
      <c r="A37" s="2" t="s">
        <v>280</v>
      </c>
      <c r="B37" s="26"/>
      <c r="C37" s="26"/>
      <c r="D37" s="26"/>
      <c r="E37" s="26"/>
      <c r="F37" s="26"/>
      <c r="G37" s="26"/>
      <c r="H37" s="26"/>
      <c r="I37" s="26"/>
      <c r="J37" s="26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>
        <v>1.3851E-2</v>
      </c>
      <c r="BX37" s="182">
        <v>6.9315000000000002E-2</v>
      </c>
      <c r="BY37" s="182"/>
      <c r="BZ37" s="182"/>
      <c r="CA37" s="182"/>
      <c r="CB37" s="182"/>
      <c r="CC37" s="182"/>
      <c r="CD37" s="182"/>
      <c r="CE37" s="182"/>
      <c r="CF37" s="182"/>
      <c r="CG37" s="182"/>
      <c r="CH37" s="412">
        <f>SUM(B37:BQ37)</f>
        <v>0</v>
      </c>
      <c r="CJ37" s="187"/>
      <c r="CK37" s="57"/>
      <c r="CL37" s="317"/>
    </row>
    <row r="38" spans="1:90" ht="16" thickBot="1" x14ac:dyDescent="0.4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412"/>
      <c r="CJ38" s="187"/>
      <c r="CK38" s="57"/>
      <c r="CL38" s="317"/>
    </row>
    <row r="39" spans="1:90" ht="16" thickBot="1" x14ac:dyDescent="0.4">
      <c r="A39" s="107" t="s">
        <v>123</v>
      </c>
      <c r="B39" s="257">
        <f t="shared" ref="B39:AG39" si="23">B26+B29+B31+B33</f>
        <v>1.8237410000000001</v>
      </c>
      <c r="C39" s="257">
        <f t="shared" si="23"/>
        <v>8.7312109999999983</v>
      </c>
      <c r="D39" s="257">
        <f t="shared" si="23"/>
        <v>8.6193449999999991</v>
      </c>
      <c r="E39" s="257">
        <f t="shared" si="23"/>
        <v>5.5528690000000012</v>
      </c>
      <c r="F39" s="257">
        <f t="shared" si="23"/>
        <v>8.8778389999999998</v>
      </c>
      <c r="G39" s="257">
        <f t="shared" si="23"/>
        <v>5.9598240000000002</v>
      </c>
      <c r="H39" s="257">
        <f t="shared" si="23"/>
        <v>2.0610000000000004</v>
      </c>
      <c r="I39" s="257">
        <f t="shared" si="23"/>
        <v>0.58499999999999996</v>
      </c>
      <c r="J39" s="257">
        <f t="shared" si="23"/>
        <v>3.5438000000000001</v>
      </c>
      <c r="K39" s="257">
        <f t="shared" si="23"/>
        <v>0.35203000000000001</v>
      </c>
      <c r="L39" s="257">
        <f t="shared" si="23"/>
        <v>-0.15880900000000001</v>
      </c>
      <c r="M39" s="257">
        <f t="shared" si="23"/>
        <v>88.295000000000002</v>
      </c>
      <c r="N39" s="257">
        <f t="shared" si="23"/>
        <v>8.4699999999999998E-2</v>
      </c>
      <c r="O39" s="257">
        <f t="shared" si="23"/>
        <v>-0.22900000000000001</v>
      </c>
      <c r="P39" s="257">
        <f t="shared" si="23"/>
        <v>0.82872100000000004</v>
      </c>
      <c r="Q39" s="257">
        <f t="shared" si="23"/>
        <v>7.3380000000000001E-2</v>
      </c>
      <c r="R39" s="257">
        <f t="shared" si="23"/>
        <v>7.0000000000000007E-2</v>
      </c>
      <c r="S39" s="257">
        <f t="shared" si="23"/>
        <v>7.0000000000000007E-2</v>
      </c>
      <c r="T39" s="257">
        <f t="shared" si="23"/>
        <v>0.30799999999999994</v>
      </c>
      <c r="U39" s="257">
        <f t="shared" si="23"/>
        <v>5.0999999999999997E-2</v>
      </c>
      <c r="V39" s="257">
        <f t="shared" si="23"/>
        <v>9.9999999999999992E-2</v>
      </c>
      <c r="W39" s="257">
        <f t="shared" si="23"/>
        <v>-0.152534</v>
      </c>
      <c r="X39" s="257">
        <f t="shared" si="23"/>
        <v>1.9689999999999999</v>
      </c>
      <c r="Y39" s="257">
        <f t="shared" si="23"/>
        <v>0.10194900000000001</v>
      </c>
      <c r="Z39" s="257">
        <f t="shared" si="23"/>
        <v>0.10100000000000001</v>
      </c>
      <c r="AA39" s="257">
        <f t="shared" si="23"/>
        <v>-0.15613299999999999</v>
      </c>
      <c r="AB39" s="257">
        <f t="shared" si="23"/>
        <v>0.17999999999999997</v>
      </c>
      <c r="AC39" s="257">
        <f t="shared" si="23"/>
        <v>0.52157699999999996</v>
      </c>
      <c r="AD39" s="257">
        <f t="shared" si="23"/>
        <v>0.27975</v>
      </c>
      <c r="AE39" s="257">
        <f t="shared" si="23"/>
        <v>3.1E-2</v>
      </c>
      <c r="AF39" s="257">
        <f t="shared" si="23"/>
        <v>1.028</v>
      </c>
      <c r="AG39" s="257">
        <f t="shared" si="23"/>
        <v>0.495</v>
      </c>
      <c r="AH39" s="257">
        <f t="shared" ref="AH39:BM39" si="24">AH26+AH29+AH31+AH33</f>
        <v>-2.0611999999999998E-2</v>
      </c>
      <c r="AI39" s="257">
        <f t="shared" si="24"/>
        <v>-1.3965999999999999E-2</v>
      </c>
      <c r="AJ39" s="257">
        <f t="shared" si="24"/>
        <v>7.9905000000000004E-2</v>
      </c>
      <c r="AK39" s="257">
        <f t="shared" si="24"/>
        <v>4.4448000000000001E-2</v>
      </c>
      <c r="AL39" s="257">
        <f t="shared" si="24"/>
        <v>2.4303000000000002E-2</v>
      </c>
      <c r="AM39" s="257">
        <f t="shared" si="24"/>
        <v>6.1020999999999999E-2</v>
      </c>
      <c r="AN39" s="257">
        <f t="shared" si="24"/>
        <v>1.2152E-2</v>
      </c>
      <c r="AO39" s="257">
        <f t="shared" si="24"/>
        <v>1.4914E-2</v>
      </c>
      <c r="AP39" s="257">
        <f t="shared" si="24"/>
        <v>8.5500000000000007E-2</v>
      </c>
      <c r="AQ39" s="257">
        <f t="shared" si="24"/>
        <v>0.1</v>
      </c>
      <c r="AR39" s="257">
        <f t="shared" si="24"/>
        <v>2.4E-2</v>
      </c>
      <c r="AS39" s="257">
        <f t="shared" si="24"/>
        <v>2.5000000000000001E-2</v>
      </c>
      <c r="AT39" s="257">
        <f t="shared" si="24"/>
        <v>2.5000000000000001E-2</v>
      </c>
      <c r="AU39" s="257">
        <f t="shared" si="24"/>
        <v>-85.403999999999996</v>
      </c>
      <c r="AV39" s="257">
        <f t="shared" si="24"/>
        <v>1.0680000000000001</v>
      </c>
      <c r="AW39" s="257">
        <f t="shared" si="24"/>
        <v>0.39820499999999998</v>
      </c>
      <c r="AX39" s="257">
        <f t="shared" si="24"/>
        <v>-1.3779999999999999</v>
      </c>
      <c r="AY39" s="257">
        <f t="shared" si="24"/>
        <v>0.22408400000000001</v>
      </c>
      <c r="AZ39" s="257">
        <f t="shared" si="24"/>
        <v>1.0740000000000001</v>
      </c>
      <c r="BA39" s="257">
        <f t="shared" si="24"/>
        <v>1.9339999999999999</v>
      </c>
      <c r="BB39" s="257">
        <f t="shared" si="24"/>
        <v>0.02</v>
      </c>
      <c r="BC39" s="257">
        <f t="shared" si="24"/>
        <v>0.3</v>
      </c>
      <c r="BD39" s="257">
        <f t="shared" si="24"/>
        <v>7.1901000000000007E-2</v>
      </c>
      <c r="BE39" s="257">
        <f t="shared" si="24"/>
        <v>1.0586999999999999E-2</v>
      </c>
      <c r="BF39" s="257">
        <f t="shared" si="24"/>
        <v>7.8E-2</v>
      </c>
      <c r="BG39" s="257">
        <f t="shared" si="24"/>
        <v>1.1439999999999999</v>
      </c>
      <c r="BH39" s="257">
        <f t="shared" si="24"/>
        <v>0.79</v>
      </c>
      <c r="BI39" s="257">
        <f t="shared" si="24"/>
        <v>3.6999999999999998E-2</v>
      </c>
      <c r="BJ39" s="257">
        <f t="shared" si="24"/>
        <v>7.6886999999999997E-2</v>
      </c>
      <c r="BK39" s="257">
        <f t="shared" si="24"/>
        <v>1.1000000000000001</v>
      </c>
      <c r="BL39" s="257">
        <f t="shared" si="24"/>
        <v>2.9819999999999998E-3</v>
      </c>
      <c r="BM39" s="257">
        <f t="shared" si="24"/>
        <v>4.8658E-2</v>
      </c>
      <c r="BN39" s="257">
        <f t="shared" ref="BN39:BV39" si="25">BN26+BN29+BN31+BN33</f>
        <v>0.27700000000000002</v>
      </c>
      <c r="BO39" s="257">
        <f t="shared" si="25"/>
        <v>6.2920000000000004E-2</v>
      </c>
      <c r="BP39" s="257">
        <f t="shared" si="25"/>
        <v>0.110064</v>
      </c>
      <c r="BQ39" s="257">
        <f t="shared" si="25"/>
        <v>1.2170000000000001</v>
      </c>
      <c r="BR39" s="319">
        <f t="shared" si="25"/>
        <v>7.4325000000000002E-2</v>
      </c>
      <c r="BS39" s="319">
        <f t="shared" si="25"/>
        <v>2.7682999999999999E-2</v>
      </c>
      <c r="BT39" s="319">
        <f t="shared" si="25"/>
        <v>0.124848</v>
      </c>
      <c r="BU39" s="319">
        <f t="shared" si="25"/>
        <v>5.2289000000000002E-2</v>
      </c>
      <c r="BV39" s="319">
        <f t="shared" si="25"/>
        <v>3.0672999999999999E-2</v>
      </c>
      <c r="BW39" s="319">
        <f>BW26+BW29+BW31+BW33+BW35+BW37</f>
        <v>0.22331099999999998</v>
      </c>
      <c r="BX39" s="319">
        <f>BX26+BX29+BX31+BX33+BX35+BX37</f>
        <v>0</v>
      </c>
      <c r="BY39" s="319">
        <f t="shared" ref="BY39:CG39" si="26">BY26+BY29+BY31+BY33+BY35+BY37</f>
        <v>8.856E-2</v>
      </c>
      <c r="BZ39" s="319">
        <f t="shared" si="26"/>
        <v>7.6904E-2</v>
      </c>
      <c r="CA39" s="319">
        <f t="shared" si="26"/>
        <v>0.25</v>
      </c>
      <c r="CB39" s="319">
        <f t="shared" si="26"/>
        <v>0.76</v>
      </c>
      <c r="CC39" s="319">
        <f t="shared" si="26"/>
        <v>5.1999999999999998E-2</v>
      </c>
      <c r="CD39" s="319">
        <f t="shared" si="26"/>
        <v>8.4000000000000005E-2</v>
      </c>
      <c r="CE39" s="319">
        <f t="shared" si="26"/>
        <v>0.27200000000000002</v>
      </c>
      <c r="CF39" s="319">
        <f t="shared" si="26"/>
        <v>1.7949999999999999</v>
      </c>
      <c r="CG39" s="319">
        <f t="shared" si="26"/>
        <v>1.395</v>
      </c>
      <c r="CH39" s="415">
        <f>SUM(B39:CG39)</f>
        <v>69.029805999999923</v>
      </c>
      <c r="CJ39" s="258">
        <f>SUM(CJ8:CJ38)</f>
        <v>31.878165999999993</v>
      </c>
      <c r="CK39" s="57"/>
      <c r="CL39" s="318">
        <f>SUM(CL8:CL20)</f>
        <v>-0.48631300000000066</v>
      </c>
    </row>
    <row r="40" spans="1:90" x14ac:dyDescent="0.35">
      <c r="B40" s="397"/>
      <c r="C40" s="398"/>
      <c r="D40" s="398"/>
    </row>
    <row r="41" spans="1:90" x14ac:dyDescent="0.35">
      <c r="B41" s="397"/>
      <c r="C41" s="398"/>
      <c r="D41" s="398"/>
      <c r="E41" s="397"/>
      <c r="F41" s="399"/>
      <c r="G41" s="399"/>
      <c r="H41" s="399"/>
      <c r="I41" s="399"/>
      <c r="J41" s="399"/>
      <c r="K41" s="399"/>
      <c r="L41" s="399"/>
      <c r="M41" s="222"/>
      <c r="N41" s="222"/>
      <c r="O41" s="222"/>
    </row>
    <row r="43" spans="1:90" ht="18" x14ac:dyDescent="0.4">
      <c r="A43" s="291"/>
      <c r="CH43" s="282"/>
      <c r="CJ43" s="282"/>
    </row>
  </sheetData>
  <pageMargins left="0.25" right="0.25" top="0.75" bottom="0.75" header="0.3" footer="0.3"/>
  <pageSetup paperSize="8" scale="38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U95"/>
  <sheetViews>
    <sheetView zoomScale="75" workbookViewId="0">
      <selection activeCell="M5" sqref="M5"/>
    </sheetView>
  </sheetViews>
  <sheetFormatPr defaultRowHeight="15.5" x14ac:dyDescent="0.35"/>
  <cols>
    <col min="1" max="1" width="35.84375" bestFit="1" customWidth="1"/>
    <col min="2" max="2" width="15.07421875" customWidth="1"/>
    <col min="3" max="3" width="11.4609375" customWidth="1"/>
    <col min="4" max="5" width="11.53515625" customWidth="1"/>
    <col min="6" max="6" width="11.4609375" customWidth="1"/>
    <col min="7" max="8" width="10.23046875" bestFit="1" customWidth="1"/>
  </cols>
  <sheetData>
    <row r="1" spans="1:2" x14ac:dyDescent="0.35">
      <c r="A1" s="57" t="s">
        <v>86</v>
      </c>
    </row>
    <row r="5" spans="1:2" ht="16" thickBot="1" x14ac:dyDescent="0.4"/>
    <row r="6" spans="1:2" x14ac:dyDescent="0.35">
      <c r="A6" s="281"/>
      <c r="B6" s="51">
        <f>+A6+1</f>
        <v>1</v>
      </c>
    </row>
    <row r="7" spans="1:2" s="196" customFormat="1" ht="42" customHeight="1" thickBot="1" x14ac:dyDescent="0.4">
      <c r="A7" s="272"/>
      <c r="B7" s="402" t="s">
        <v>244</v>
      </c>
    </row>
    <row r="8" spans="1:2" x14ac:dyDescent="0.35">
      <c r="A8" s="195"/>
      <c r="B8" s="132" t="s">
        <v>15</v>
      </c>
    </row>
    <row r="9" spans="1:2" x14ac:dyDescent="0.35">
      <c r="A9" s="3"/>
      <c r="B9" s="192"/>
    </row>
    <row r="10" spans="1:2" x14ac:dyDescent="0.35">
      <c r="A10" s="2" t="s">
        <v>20</v>
      </c>
      <c r="B10" s="123">
        <f>D94</f>
        <v>30.462414422084333</v>
      </c>
    </row>
    <row r="11" spans="1:2" x14ac:dyDescent="0.35">
      <c r="A11" s="2"/>
      <c r="B11" s="123"/>
    </row>
    <row r="12" spans="1:2" x14ac:dyDescent="0.35">
      <c r="A12" s="2" t="s">
        <v>29</v>
      </c>
      <c r="B12" s="123">
        <f>F94</f>
        <v>31.789425353502139</v>
      </c>
    </row>
    <row r="13" spans="1:2" x14ac:dyDescent="0.35">
      <c r="A13" s="2"/>
      <c r="B13" s="123"/>
    </row>
    <row r="14" spans="1:2" x14ac:dyDescent="0.35">
      <c r="A14" s="2" t="s">
        <v>21</v>
      </c>
      <c r="B14" s="123">
        <f>H94</f>
        <v>19.745068263336275</v>
      </c>
    </row>
    <row r="15" spans="1:2" x14ac:dyDescent="0.35">
      <c r="A15" s="2"/>
      <c r="B15" s="123"/>
    </row>
    <row r="16" spans="1:2" x14ac:dyDescent="0.35">
      <c r="A16" s="2" t="s">
        <v>185</v>
      </c>
      <c r="B16" s="387">
        <f>J94</f>
        <v>27.87891179649386</v>
      </c>
    </row>
    <row r="17" spans="1:21" x14ac:dyDescent="0.35">
      <c r="A17" s="1"/>
      <c r="B17" s="45"/>
    </row>
    <row r="18" spans="1:21" x14ac:dyDescent="0.35">
      <c r="A18" s="2" t="s">
        <v>23</v>
      </c>
      <c r="B18" s="123">
        <f>L94</f>
        <v>20.097469647376336</v>
      </c>
    </row>
    <row r="19" spans="1:21" x14ac:dyDescent="0.35">
      <c r="A19" s="2"/>
      <c r="B19" s="123"/>
    </row>
    <row r="20" spans="1:21" x14ac:dyDescent="0.35">
      <c r="A20" s="2" t="s">
        <v>22</v>
      </c>
      <c r="B20" s="123">
        <f>N94</f>
        <v>4.4677808479233692</v>
      </c>
    </row>
    <row r="21" spans="1:21" x14ac:dyDescent="0.35">
      <c r="A21" s="2"/>
      <c r="B21" s="123"/>
    </row>
    <row r="22" spans="1:21" x14ac:dyDescent="0.35">
      <c r="A22" s="2" t="s">
        <v>186</v>
      </c>
      <c r="B22" s="387">
        <f>B94</f>
        <v>21.195710674741619</v>
      </c>
    </row>
    <row r="23" spans="1:21" x14ac:dyDescent="0.35">
      <c r="A23" s="1"/>
      <c r="B23" s="45"/>
    </row>
    <row r="24" spans="1:21" ht="16" thickBot="1" x14ac:dyDescent="0.4">
      <c r="A24" s="193" t="s">
        <v>0</v>
      </c>
      <c r="B24" s="194">
        <f>+B20+B18+B16+B14+B12+B10+B22</f>
        <v>155.63678100545792</v>
      </c>
      <c r="C24" t="s">
        <v>7</v>
      </c>
      <c r="D24" s="221" t="s">
        <v>7</v>
      </c>
      <c r="E24" s="322"/>
      <c r="F24" s="322"/>
      <c r="G24" s="322"/>
      <c r="H24" s="322"/>
    </row>
    <row r="25" spans="1:21" ht="16" thickBot="1" x14ac:dyDescent="0.4">
      <c r="D25" s="322"/>
      <c r="E25" s="322"/>
      <c r="F25" s="322"/>
      <c r="G25" s="322"/>
      <c r="H25" s="322"/>
    </row>
    <row r="26" spans="1:21" ht="32" thickTop="1" thickBot="1" x14ac:dyDescent="0.4">
      <c r="A26" s="188" t="s">
        <v>62</v>
      </c>
      <c r="B26" s="206" t="s">
        <v>63</v>
      </c>
      <c r="C26" s="340" t="s">
        <v>174</v>
      </c>
      <c r="D26" s="206" t="s">
        <v>64</v>
      </c>
      <c r="E26" s="340" t="s">
        <v>174</v>
      </c>
      <c r="F26" s="206" t="s">
        <v>65</v>
      </c>
      <c r="G26" s="340" t="s">
        <v>174</v>
      </c>
      <c r="H26" s="206" t="s">
        <v>66</v>
      </c>
      <c r="I26" s="340" t="s">
        <v>174</v>
      </c>
      <c r="J26" s="206" t="s">
        <v>67</v>
      </c>
      <c r="K26" s="340" t="s">
        <v>174</v>
      </c>
      <c r="L26" s="206" t="s">
        <v>68</v>
      </c>
      <c r="M26" s="340" t="s">
        <v>174</v>
      </c>
      <c r="N26" s="206" t="s">
        <v>69</v>
      </c>
      <c r="O26" s="340" t="s">
        <v>174</v>
      </c>
      <c r="P26" s="206" t="s">
        <v>70</v>
      </c>
      <c r="Q26" s="206" t="s">
        <v>71</v>
      </c>
      <c r="R26" s="206" t="s">
        <v>72</v>
      </c>
      <c r="S26" s="206" t="s">
        <v>73</v>
      </c>
      <c r="T26" s="206" t="s">
        <v>74</v>
      </c>
      <c r="U26" s="207" t="s">
        <v>0</v>
      </c>
    </row>
    <row r="27" spans="1:21" x14ac:dyDescent="0.35">
      <c r="A27" s="208"/>
      <c r="B27" s="209" t="s">
        <v>15</v>
      </c>
      <c r="C27" s="341" t="s">
        <v>15</v>
      </c>
      <c r="D27" s="209" t="s">
        <v>15</v>
      </c>
      <c r="E27" s="341"/>
      <c r="F27" s="209" t="s">
        <v>15</v>
      </c>
      <c r="G27" s="341"/>
      <c r="H27" s="209" t="s">
        <v>15</v>
      </c>
      <c r="I27" s="341"/>
      <c r="J27" s="209" t="s">
        <v>15</v>
      </c>
      <c r="K27" s="341"/>
      <c r="L27" s="209" t="s">
        <v>15</v>
      </c>
      <c r="M27" s="341"/>
      <c r="N27" s="209" t="s">
        <v>15</v>
      </c>
      <c r="O27" s="341"/>
      <c r="P27" s="209" t="s">
        <v>15</v>
      </c>
      <c r="Q27" s="209" t="s">
        <v>15</v>
      </c>
      <c r="R27" s="209" t="s">
        <v>15</v>
      </c>
      <c r="S27" s="209" t="s">
        <v>15</v>
      </c>
      <c r="T27" s="209" t="s">
        <v>15</v>
      </c>
      <c r="U27" s="210" t="s">
        <v>15</v>
      </c>
    </row>
    <row r="28" spans="1:21" ht="16" thickBot="1" x14ac:dyDescent="0.4">
      <c r="A28" s="189" t="s">
        <v>7</v>
      </c>
      <c r="B28" s="211"/>
      <c r="C28" s="342"/>
      <c r="D28" s="211"/>
      <c r="E28" s="342"/>
      <c r="F28" s="211"/>
      <c r="G28" s="342"/>
      <c r="H28" s="211"/>
      <c r="I28" s="342"/>
      <c r="J28" s="211"/>
      <c r="K28" s="342"/>
      <c r="L28" s="211"/>
      <c r="M28" s="342"/>
      <c r="N28" s="211"/>
      <c r="O28" s="342"/>
      <c r="P28" s="211"/>
      <c r="Q28" s="211"/>
      <c r="R28" s="211"/>
      <c r="S28" s="211"/>
      <c r="T28" s="211"/>
      <c r="U28" s="212"/>
    </row>
    <row r="29" spans="1:21" x14ac:dyDescent="0.35">
      <c r="A29" s="190" t="s">
        <v>57</v>
      </c>
      <c r="B29" s="213"/>
      <c r="C29" s="343"/>
      <c r="D29" s="213"/>
      <c r="E29" s="343"/>
      <c r="F29" s="213"/>
      <c r="G29" s="343"/>
      <c r="H29" s="213"/>
      <c r="I29" s="343"/>
      <c r="J29" s="213"/>
      <c r="K29" s="343"/>
      <c r="L29" s="213"/>
      <c r="M29" s="343"/>
      <c r="N29" s="213"/>
      <c r="O29" s="343"/>
      <c r="P29" s="213"/>
      <c r="Q29" s="213"/>
      <c r="R29" s="213"/>
      <c r="S29" s="213"/>
      <c r="T29" s="213"/>
      <c r="U29" s="404"/>
    </row>
    <row r="30" spans="1:21" x14ac:dyDescent="0.35">
      <c r="A30" s="191" t="s">
        <v>75</v>
      </c>
      <c r="B30" s="214"/>
      <c r="C30" s="344"/>
      <c r="D30" s="214"/>
      <c r="E30" s="344"/>
      <c r="F30" s="214"/>
      <c r="G30" s="344"/>
      <c r="H30" s="214"/>
      <c r="I30" s="344"/>
      <c r="J30" s="214"/>
      <c r="K30" s="344"/>
      <c r="L30" s="214"/>
      <c r="M30" s="344"/>
      <c r="N30" s="214"/>
      <c r="O30" s="344"/>
      <c r="P30" s="214"/>
      <c r="Q30" s="214"/>
      <c r="R30" s="214"/>
      <c r="S30" s="214"/>
      <c r="T30" s="214"/>
      <c r="U30" s="199"/>
    </row>
    <row r="31" spans="1:21" x14ac:dyDescent="0.35">
      <c r="A31" s="215" t="s">
        <v>63</v>
      </c>
      <c r="B31" s="220">
        <f>18.792-5.524</f>
        <v>13.268000000000001</v>
      </c>
      <c r="C31" s="344">
        <v>5.5239083999999998</v>
      </c>
      <c r="D31" s="220">
        <f>0.054-0.02</f>
        <v>3.4000000000000002E-2</v>
      </c>
      <c r="E31" s="344">
        <v>1.9539127863856531E-2</v>
      </c>
      <c r="F31" s="214">
        <v>0</v>
      </c>
      <c r="G31" s="344">
        <v>0</v>
      </c>
      <c r="H31" s="220">
        <f>0.585-0.504</f>
        <v>8.0999999999999961E-2</v>
      </c>
      <c r="I31" s="344">
        <v>0.50367205885706157</v>
      </c>
      <c r="J31" s="220">
        <f>0.206-0.166</f>
        <v>3.999999999999998E-2</v>
      </c>
      <c r="K31" s="344">
        <v>0.16630296611699324</v>
      </c>
      <c r="L31" s="220">
        <f>0.837-0.01</f>
        <v>0.82699999999999996</v>
      </c>
      <c r="M31" s="344">
        <v>1.0174702468501939E-2</v>
      </c>
      <c r="N31" s="220">
        <f>0.269-0.006</f>
        <v>0.26300000000000001</v>
      </c>
      <c r="O31" s="344">
        <v>6.0662489791641905E-3</v>
      </c>
      <c r="P31" s="214">
        <v>0.24199999999999999</v>
      </c>
      <c r="Q31" s="214">
        <v>8.7999999999999995E-2</v>
      </c>
      <c r="R31" s="214">
        <v>2E-3</v>
      </c>
      <c r="S31" s="214">
        <v>9.0999999999999998E-2</v>
      </c>
      <c r="T31" s="214">
        <v>0.16800000000000001</v>
      </c>
      <c r="U31" s="310">
        <f t="shared" ref="U31:U42" si="0">B31+D31+F31+H31+J31+L31+N31+P31+Q31+R31+S31+T31</f>
        <v>15.103999999999997</v>
      </c>
    </row>
    <row r="32" spans="1:21" x14ac:dyDescent="0.35">
      <c r="A32" s="215" t="s">
        <v>64</v>
      </c>
      <c r="B32" s="214">
        <v>0</v>
      </c>
      <c r="C32" s="344">
        <v>0</v>
      </c>
      <c r="D32" s="214">
        <v>18.087022297480704</v>
      </c>
      <c r="E32" s="344"/>
      <c r="F32" s="214">
        <v>0</v>
      </c>
      <c r="G32" s="344"/>
      <c r="H32" s="214">
        <v>0</v>
      </c>
      <c r="I32" s="344"/>
      <c r="J32" s="214">
        <v>0</v>
      </c>
      <c r="K32" s="344"/>
      <c r="L32" s="214">
        <v>0</v>
      </c>
      <c r="M32" s="344"/>
      <c r="N32" s="214">
        <v>0</v>
      </c>
      <c r="O32" s="344"/>
      <c r="P32" s="214">
        <v>0</v>
      </c>
      <c r="Q32" s="214">
        <v>0</v>
      </c>
      <c r="R32" s="214">
        <v>2.1000000000000001E-2</v>
      </c>
      <c r="S32" s="214">
        <v>0</v>
      </c>
      <c r="T32" s="214">
        <v>0</v>
      </c>
      <c r="U32" s="310">
        <f t="shared" si="0"/>
        <v>18.108022297480705</v>
      </c>
    </row>
    <row r="33" spans="1:21" x14ac:dyDescent="0.35">
      <c r="A33" s="215" t="s">
        <v>65</v>
      </c>
      <c r="B33" s="214">
        <v>0</v>
      </c>
      <c r="C33" s="344">
        <v>0</v>
      </c>
      <c r="D33" s="214">
        <v>0</v>
      </c>
      <c r="E33" s="344"/>
      <c r="F33" s="214">
        <v>26.986999999999998</v>
      </c>
      <c r="G33" s="344"/>
      <c r="H33" s="214">
        <v>0</v>
      </c>
      <c r="I33" s="344"/>
      <c r="J33" s="214">
        <v>0</v>
      </c>
      <c r="K33" s="344"/>
      <c r="L33" s="214">
        <v>0</v>
      </c>
      <c r="M33" s="344"/>
      <c r="N33" s="214">
        <v>0</v>
      </c>
      <c r="O33" s="344"/>
      <c r="P33" s="214">
        <v>0.23499999999999999</v>
      </c>
      <c r="Q33" s="214">
        <v>0.34899999999999998</v>
      </c>
      <c r="R33" s="214">
        <v>0</v>
      </c>
      <c r="S33" s="214">
        <v>1.0999999999999999E-2</v>
      </c>
      <c r="T33" s="214">
        <v>0</v>
      </c>
      <c r="U33" s="310">
        <f t="shared" si="0"/>
        <v>27.581999999999997</v>
      </c>
    </row>
    <row r="34" spans="1:21" x14ac:dyDescent="0.35">
      <c r="A34" s="215" t="s">
        <v>66</v>
      </c>
      <c r="B34" s="220">
        <f>0.11-0.032</f>
        <v>7.8E-2</v>
      </c>
      <c r="C34" s="344">
        <v>3.2334500000000002E-2</v>
      </c>
      <c r="D34" s="214">
        <v>0.48299999999999998</v>
      </c>
      <c r="E34" s="344"/>
      <c r="F34" s="214">
        <v>8.9999999999999993E-3</v>
      </c>
      <c r="G34" s="344"/>
      <c r="H34" s="214">
        <v>10.517999999999999</v>
      </c>
      <c r="I34" s="344"/>
      <c r="J34" s="220">
        <f>0.256+0.032</f>
        <v>0.28800000000000003</v>
      </c>
      <c r="K34" s="344"/>
      <c r="L34" s="214">
        <v>7.0000000000000007E-2</v>
      </c>
      <c r="M34" s="344"/>
      <c r="N34" s="214">
        <v>1.4999999999999999E-2</v>
      </c>
      <c r="O34" s="344"/>
      <c r="P34" s="214">
        <v>2.698</v>
      </c>
      <c r="Q34" s="214">
        <v>4.4999999999999998E-2</v>
      </c>
      <c r="R34" s="214">
        <v>0.83899999999999997</v>
      </c>
      <c r="S34" s="214">
        <v>5.6000000000000001E-2</v>
      </c>
      <c r="T34" s="214">
        <v>1.4750000000000001</v>
      </c>
      <c r="U34" s="310">
        <f t="shared" si="0"/>
        <v>16.574000000000002</v>
      </c>
    </row>
    <row r="35" spans="1:21" x14ac:dyDescent="0.35">
      <c r="A35" s="215" t="s">
        <v>67</v>
      </c>
      <c r="B35" s="220">
        <f>0.16-0.047</f>
        <v>0.113</v>
      </c>
      <c r="C35" s="344">
        <v>4.7031999999999997E-2</v>
      </c>
      <c r="D35" s="220">
        <v>0.02</v>
      </c>
      <c r="E35" s="344"/>
      <c r="F35" s="214">
        <v>0</v>
      </c>
      <c r="G35" s="344"/>
      <c r="H35" s="220">
        <f>0.171+0.504</f>
        <v>0.67500000000000004</v>
      </c>
      <c r="I35" s="344"/>
      <c r="J35" s="220">
        <f>12.044+5.524+0.166+0.047</f>
        <v>17.781000000000002</v>
      </c>
      <c r="K35" s="344"/>
      <c r="L35" s="220">
        <v>0.01</v>
      </c>
      <c r="M35" s="344"/>
      <c r="N35" s="220">
        <v>6.0000000000000001E-3</v>
      </c>
      <c r="O35" s="344"/>
      <c r="P35" s="214">
        <v>0</v>
      </c>
      <c r="Q35" s="214">
        <v>1.2E-2</v>
      </c>
      <c r="R35" s="214">
        <v>0</v>
      </c>
      <c r="S35" s="214">
        <v>0</v>
      </c>
      <c r="T35" s="214">
        <v>0</v>
      </c>
      <c r="U35" s="310">
        <f t="shared" si="0"/>
        <v>18.617000000000004</v>
      </c>
    </row>
    <row r="36" spans="1:21" x14ac:dyDescent="0.35">
      <c r="A36" s="215" t="s">
        <v>68</v>
      </c>
      <c r="B36" s="214">
        <v>0</v>
      </c>
      <c r="C36" s="344">
        <v>0</v>
      </c>
      <c r="D36" s="214">
        <v>0</v>
      </c>
      <c r="E36" s="344"/>
      <c r="F36" s="214">
        <v>0</v>
      </c>
      <c r="G36" s="344"/>
      <c r="H36" s="214">
        <v>0</v>
      </c>
      <c r="I36" s="344"/>
      <c r="J36" s="214">
        <v>0</v>
      </c>
      <c r="K36" s="344"/>
      <c r="L36" s="214">
        <v>12.846</v>
      </c>
      <c r="M36" s="344"/>
      <c r="N36" s="214">
        <v>0</v>
      </c>
      <c r="O36" s="344"/>
      <c r="P36" s="214">
        <v>2E-3</v>
      </c>
      <c r="Q36" s="214">
        <v>0.02</v>
      </c>
      <c r="R36" s="214">
        <v>3.0000000000000001E-3</v>
      </c>
      <c r="S36" s="214">
        <v>1.4E-2</v>
      </c>
      <c r="T36" s="214">
        <v>0</v>
      </c>
      <c r="U36" s="310">
        <f t="shared" si="0"/>
        <v>12.885</v>
      </c>
    </row>
    <row r="37" spans="1:21" x14ac:dyDescent="0.35">
      <c r="A37" s="215" t="s">
        <v>69</v>
      </c>
      <c r="B37" s="214">
        <v>0</v>
      </c>
      <c r="C37" s="344">
        <v>0</v>
      </c>
      <c r="D37" s="214">
        <v>0</v>
      </c>
      <c r="E37" s="344"/>
      <c r="F37" s="214">
        <v>0</v>
      </c>
      <c r="G37" s="344"/>
      <c r="H37" s="214">
        <v>0</v>
      </c>
      <c r="I37" s="344"/>
      <c r="J37" s="214">
        <v>0</v>
      </c>
      <c r="K37" s="344"/>
      <c r="L37" s="214">
        <v>0</v>
      </c>
      <c r="M37" s="344"/>
      <c r="N37" s="214">
        <v>3.1739999999999999</v>
      </c>
      <c r="O37" s="344"/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310">
        <f t="shared" si="0"/>
        <v>3.1739999999999999</v>
      </c>
    </row>
    <row r="38" spans="1:21" x14ac:dyDescent="0.35">
      <c r="A38" s="215" t="s">
        <v>76</v>
      </c>
      <c r="B38" s="220">
        <f>0.123-0.036</f>
        <v>8.6999999999999994E-2</v>
      </c>
      <c r="C38" s="344">
        <v>3.6155849999999996E-2</v>
      </c>
      <c r="D38" s="214">
        <v>0.48870000000000002</v>
      </c>
      <c r="E38" s="344"/>
      <c r="F38" s="214">
        <v>0</v>
      </c>
      <c r="G38" s="344"/>
      <c r="H38" s="214">
        <v>0.35699999999999998</v>
      </c>
      <c r="I38" s="344"/>
      <c r="J38" s="220">
        <f>0.231+0.036</f>
        <v>0.26700000000000002</v>
      </c>
      <c r="K38" s="344"/>
      <c r="L38" s="345">
        <f>0.0189</f>
        <v>1.89E-2</v>
      </c>
      <c r="M38" s="344"/>
      <c r="N38" s="214">
        <v>2.5700000000000001E-2</v>
      </c>
      <c r="O38" s="344"/>
      <c r="P38" s="346">
        <v>0.02</v>
      </c>
      <c r="Q38" s="346">
        <v>0.06</v>
      </c>
      <c r="R38" s="346">
        <v>3.9E-2</v>
      </c>
      <c r="S38" s="214">
        <v>0</v>
      </c>
      <c r="T38" s="214">
        <v>0.59899999999999998</v>
      </c>
      <c r="U38" s="310">
        <f t="shared" si="0"/>
        <v>1.9622999999999999</v>
      </c>
    </row>
    <row r="39" spans="1:21" x14ac:dyDescent="0.35">
      <c r="A39" s="215" t="s">
        <v>36</v>
      </c>
      <c r="B39" s="214">
        <v>0</v>
      </c>
      <c r="C39" s="344">
        <v>0</v>
      </c>
      <c r="D39" s="214">
        <v>0</v>
      </c>
      <c r="E39" s="344"/>
      <c r="F39" s="214">
        <v>0</v>
      </c>
      <c r="G39" s="344"/>
      <c r="H39" s="214">
        <v>0</v>
      </c>
      <c r="I39" s="344"/>
      <c r="J39" s="214">
        <v>0</v>
      </c>
      <c r="K39" s="344"/>
      <c r="L39" s="214">
        <v>0</v>
      </c>
      <c r="M39" s="344"/>
      <c r="N39" s="214">
        <v>0</v>
      </c>
      <c r="O39" s="344"/>
      <c r="P39" s="214">
        <v>0</v>
      </c>
      <c r="Q39" s="214">
        <v>0</v>
      </c>
      <c r="R39" s="214">
        <v>0</v>
      </c>
      <c r="S39" s="214">
        <v>0</v>
      </c>
      <c r="T39" s="214">
        <v>5.9029999999999996</v>
      </c>
      <c r="U39" s="310">
        <f t="shared" si="0"/>
        <v>5.9029999999999996</v>
      </c>
    </row>
    <row r="40" spans="1:21" x14ac:dyDescent="0.35">
      <c r="A40" s="215" t="s">
        <v>77</v>
      </c>
      <c r="B40" s="214">
        <v>0</v>
      </c>
      <c r="C40" s="344">
        <v>0</v>
      </c>
      <c r="D40" s="214">
        <v>0</v>
      </c>
      <c r="E40" s="344"/>
      <c r="F40" s="214">
        <v>0</v>
      </c>
      <c r="G40" s="344"/>
      <c r="H40" s="214">
        <v>0</v>
      </c>
      <c r="I40" s="344"/>
      <c r="J40" s="214">
        <v>0</v>
      </c>
      <c r="K40" s="344"/>
      <c r="L40" s="214">
        <v>0</v>
      </c>
      <c r="M40" s="344"/>
      <c r="N40" s="214">
        <v>0</v>
      </c>
      <c r="O40" s="344"/>
      <c r="P40" s="214">
        <v>0</v>
      </c>
      <c r="Q40" s="214">
        <v>0</v>
      </c>
      <c r="R40" s="214">
        <v>0</v>
      </c>
      <c r="S40" s="214">
        <v>0</v>
      </c>
      <c r="T40" s="214">
        <v>0</v>
      </c>
      <c r="U40" s="310">
        <f t="shared" si="0"/>
        <v>0</v>
      </c>
    </row>
    <row r="41" spans="1:21" x14ac:dyDescent="0.35">
      <c r="A41" s="215" t="s">
        <v>78</v>
      </c>
      <c r="B41" s="214">
        <v>0</v>
      </c>
      <c r="C41" s="344">
        <v>0</v>
      </c>
      <c r="D41" s="214">
        <v>0</v>
      </c>
      <c r="E41" s="344"/>
      <c r="F41" s="214">
        <v>0</v>
      </c>
      <c r="G41" s="344"/>
      <c r="H41" s="214">
        <v>0</v>
      </c>
      <c r="I41" s="344"/>
      <c r="J41" s="214">
        <v>0</v>
      </c>
      <c r="K41" s="344"/>
      <c r="L41" s="214">
        <v>0</v>
      </c>
      <c r="M41" s="344"/>
      <c r="N41" s="214">
        <v>0</v>
      </c>
      <c r="O41" s="344"/>
      <c r="P41" s="214">
        <v>0</v>
      </c>
      <c r="Q41" s="214">
        <v>0</v>
      </c>
      <c r="R41" s="214">
        <v>0</v>
      </c>
      <c r="S41" s="214">
        <v>0</v>
      </c>
      <c r="T41" s="214">
        <v>1.1160000000000001</v>
      </c>
      <c r="U41" s="310">
        <f t="shared" si="0"/>
        <v>1.1160000000000001</v>
      </c>
    </row>
    <row r="42" spans="1:21" x14ac:dyDescent="0.35">
      <c r="A42" s="197" t="s">
        <v>175</v>
      </c>
      <c r="B42" s="198">
        <f>SUM(B31:B41)</f>
        <v>13.545999999999999</v>
      </c>
      <c r="C42" s="347">
        <v>5.6394307499999998</v>
      </c>
      <c r="D42" s="198">
        <f>SUM(D31:D41)</f>
        <v>19.112722297480705</v>
      </c>
      <c r="E42" s="347">
        <v>1.9539127863856531E-2</v>
      </c>
      <c r="F42" s="198">
        <f>SUM(F31:F41)</f>
        <v>26.995999999999999</v>
      </c>
      <c r="G42" s="347">
        <v>0</v>
      </c>
      <c r="H42" s="198">
        <f>SUM(H31:H41)</f>
        <v>11.630999999999998</v>
      </c>
      <c r="I42" s="347">
        <v>0.50367205885706157</v>
      </c>
      <c r="J42" s="198">
        <f>SUM(J31:J41)</f>
        <v>18.376000000000001</v>
      </c>
      <c r="K42" s="347">
        <v>0.16630296611699324</v>
      </c>
      <c r="L42" s="198">
        <f>SUM(L31:L41)</f>
        <v>13.7719</v>
      </c>
      <c r="M42" s="347">
        <v>1.0174702468501939E-2</v>
      </c>
      <c r="N42" s="198">
        <f>SUM(N31:N41)</f>
        <v>3.4837000000000002</v>
      </c>
      <c r="O42" s="347">
        <v>6.0662489791641905E-3</v>
      </c>
      <c r="P42" s="198">
        <f>SUM(P31:P41)</f>
        <v>3.1969999999999996</v>
      </c>
      <c r="Q42" s="198">
        <f>SUM(Q31:Q41)</f>
        <v>0.57399999999999984</v>
      </c>
      <c r="R42" s="198">
        <f>SUM(R31:R41)</f>
        <v>0.90400000000000003</v>
      </c>
      <c r="S42" s="198">
        <f>SUM(S31:S41)</f>
        <v>0.17200000000000001</v>
      </c>
      <c r="T42" s="198">
        <f>SUM(T31:T41)</f>
        <v>9.2609999999999992</v>
      </c>
      <c r="U42" s="310">
        <f t="shared" si="0"/>
        <v>121.0253222974807</v>
      </c>
    </row>
    <row r="43" spans="1:21" x14ac:dyDescent="0.35">
      <c r="A43" s="197" t="s">
        <v>89</v>
      </c>
      <c r="B43" s="214"/>
      <c r="C43" s="344"/>
      <c r="D43" s="214"/>
      <c r="E43" s="344"/>
      <c r="F43" s="214"/>
      <c r="G43" s="344"/>
      <c r="H43" s="214"/>
      <c r="I43" s="344"/>
      <c r="J43" s="214"/>
      <c r="K43" s="344"/>
      <c r="L43" s="214"/>
      <c r="M43" s="344"/>
      <c r="N43" s="214"/>
      <c r="O43" s="344"/>
      <c r="P43" s="214"/>
      <c r="Q43" s="214"/>
      <c r="R43" s="214"/>
      <c r="S43" s="214"/>
      <c r="T43" s="214"/>
      <c r="U43" s="199"/>
    </row>
    <row r="44" spans="1:21" x14ac:dyDescent="0.35">
      <c r="A44" s="215" t="s">
        <v>88</v>
      </c>
      <c r="B44" s="220">
        <f>0.042318-0.04</f>
        <v>2.3180000000000006E-3</v>
      </c>
      <c r="C44" s="344">
        <v>3.9758229819412315E-2</v>
      </c>
      <c r="D44" s="214">
        <v>0.168931</v>
      </c>
      <c r="E44" s="344"/>
      <c r="F44" s="214">
        <v>0</v>
      </c>
      <c r="G44" s="344"/>
      <c r="H44" s="214">
        <v>0.118699</v>
      </c>
      <c r="I44" s="344"/>
      <c r="J44" s="214">
        <f>0.080508+0.04</f>
        <v>0.120508</v>
      </c>
      <c r="K44" s="344"/>
      <c r="L44" s="214">
        <v>7.5690000000000002E-3</v>
      </c>
      <c r="M44" s="344"/>
      <c r="N44" s="214">
        <v>7.9129999999999999E-3</v>
      </c>
      <c r="O44" s="344"/>
      <c r="P44" s="214"/>
      <c r="Q44" s="214"/>
      <c r="R44" s="214"/>
      <c r="S44" s="214"/>
      <c r="T44" s="214">
        <v>-0.59899999999999998</v>
      </c>
      <c r="U44" s="310">
        <f>B44+D44+F44+H44+J44+L44+N44+P44+Q44+R44+S44+T44</f>
        <v>-0.17306199999999999</v>
      </c>
    </row>
    <row r="45" spans="1:21" ht="31" x14ac:dyDescent="0.35">
      <c r="A45" s="216" t="s">
        <v>79</v>
      </c>
      <c r="B45" s="214">
        <v>0</v>
      </c>
      <c r="C45" s="344"/>
      <c r="D45" s="214">
        <v>0</v>
      </c>
      <c r="E45" s="344"/>
      <c r="F45" s="214">
        <v>0</v>
      </c>
      <c r="G45" s="344"/>
      <c r="H45" s="214">
        <v>0</v>
      </c>
      <c r="I45" s="344"/>
      <c r="J45" s="214">
        <v>0</v>
      </c>
      <c r="K45" s="344"/>
      <c r="L45" s="214">
        <v>0</v>
      </c>
      <c r="M45" s="344"/>
      <c r="N45" s="214">
        <v>0</v>
      </c>
      <c r="O45" s="344"/>
      <c r="P45" s="214">
        <v>0</v>
      </c>
      <c r="Q45" s="214">
        <v>0</v>
      </c>
      <c r="R45" s="214">
        <v>0</v>
      </c>
      <c r="S45" s="214">
        <v>0</v>
      </c>
      <c r="T45" s="214">
        <v>-0.10100000000000001</v>
      </c>
      <c r="U45" s="310">
        <f>B45+D45+F45+H45+J45+L45+N45+P45+Q45+R45+S45+T45</f>
        <v>-0.10100000000000001</v>
      </c>
    </row>
    <row r="46" spans="1:21" ht="31" x14ac:dyDescent="0.35">
      <c r="A46" s="216" t="s">
        <v>84</v>
      </c>
      <c r="B46" s="220">
        <f>0.002-0.002</f>
        <v>0</v>
      </c>
      <c r="C46" s="344">
        <v>-2.4566494407190506E-3</v>
      </c>
      <c r="D46" s="214">
        <v>-1.0389113954514461E-2</v>
      </c>
      <c r="E46" s="344"/>
      <c r="F46" s="214">
        <v>0</v>
      </c>
      <c r="G46" s="344"/>
      <c r="H46" s="214">
        <v>-7.5893465966066342E-3</v>
      </c>
      <c r="I46" s="344"/>
      <c r="J46" s="220">
        <f>-0.00491075368015723-0.002</f>
        <v>-6.9107536801572304E-3</v>
      </c>
      <c r="K46" s="344"/>
      <c r="L46" s="214">
        <v>-4.0178893746741E-4</v>
      </c>
      <c r="M46" s="344"/>
      <c r="N46" s="214">
        <v>-5.4634792025991729E-4</v>
      </c>
      <c r="O46" s="344"/>
      <c r="P46" s="214">
        <v>0</v>
      </c>
      <c r="Q46" s="214">
        <v>0</v>
      </c>
      <c r="R46" s="214">
        <v>0</v>
      </c>
      <c r="S46" s="214">
        <v>0</v>
      </c>
      <c r="T46" s="214">
        <v>0</v>
      </c>
      <c r="U46" s="310">
        <f>B46+D46+F46+H46+J46+L46+N46+P46+Q46+R46+S46+T46</f>
        <v>-2.5837351089005652E-2</v>
      </c>
    </row>
    <row r="47" spans="1:21" ht="31" x14ac:dyDescent="0.35">
      <c r="A47" s="216" t="s">
        <v>80</v>
      </c>
      <c r="B47" s="220">
        <f>-2.761+0.774</f>
        <v>-1.9870000000000001</v>
      </c>
      <c r="C47" s="344">
        <v>-0.77361044353440855</v>
      </c>
      <c r="D47" s="214">
        <v>-2.1</v>
      </c>
      <c r="E47" s="344"/>
      <c r="F47" s="214">
        <v>-2.4</v>
      </c>
      <c r="G47" s="344"/>
      <c r="H47" s="214">
        <v>-2.8660000000000001</v>
      </c>
      <c r="I47" s="344"/>
      <c r="J47" s="220">
        <f>-0.945-0.774</f>
        <v>-1.7189999999999999</v>
      </c>
      <c r="K47" s="344"/>
      <c r="L47" s="214">
        <v>-1.022</v>
      </c>
      <c r="M47" s="344"/>
      <c r="N47" s="214">
        <v>-0.23400000000000001</v>
      </c>
      <c r="O47" s="344"/>
      <c r="P47" s="214">
        <v>0</v>
      </c>
      <c r="Q47" s="214">
        <v>0</v>
      </c>
      <c r="R47" s="214">
        <v>0</v>
      </c>
      <c r="S47" s="214">
        <v>0</v>
      </c>
      <c r="T47" s="214">
        <v>0</v>
      </c>
      <c r="U47" s="310">
        <f>B47+D47+F47+H47+J47+L47+N47+P47+Q47+R47+S47+T47</f>
        <v>-12.327999999999999</v>
      </c>
    </row>
    <row r="48" spans="1:21" ht="29" x14ac:dyDescent="0.35">
      <c r="A48" s="348" t="s">
        <v>176</v>
      </c>
      <c r="B48" s="198">
        <f>SUM(B42:B47)</f>
        <v>11.561318</v>
      </c>
      <c r="C48" s="347">
        <f t="shared" ref="C48:T48" si="1">SUM(C42:C47)</f>
        <v>4.9031218868442838</v>
      </c>
      <c r="D48" s="198">
        <f t="shared" si="1"/>
        <v>17.171264183526191</v>
      </c>
      <c r="E48" s="347">
        <f t="shared" si="1"/>
        <v>1.9539127863856531E-2</v>
      </c>
      <c r="F48" s="198">
        <f t="shared" si="1"/>
        <v>24.596</v>
      </c>
      <c r="G48" s="347">
        <f t="shared" si="1"/>
        <v>0</v>
      </c>
      <c r="H48" s="198">
        <f t="shared" si="1"/>
        <v>8.8761096534033914</v>
      </c>
      <c r="I48" s="347">
        <f t="shared" si="1"/>
        <v>0.50367205885706157</v>
      </c>
      <c r="J48" s="198">
        <f t="shared" si="1"/>
        <v>16.770597246319845</v>
      </c>
      <c r="K48" s="347">
        <f t="shared" si="1"/>
        <v>0.16630296611699324</v>
      </c>
      <c r="L48" s="198">
        <f t="shared" si="1"/>
        <v>12.757067211062534</v>
      </c>
      <c r="M48" s="347">
        <f t="shared" si="1"/>
        <v>1.0174702468501939E-2</v>
      </c>
      <c r="N48" s="198">
        <f t="shared" si="1"/>
        <v>3.25706665207974</v>
      </c>
      <c r="O48" s="347">
        <f t="shared" si="1"/>
        <v>6.0662489791641905E-3</v>
      </c>
      <c r="P48" s="198">
        <f t="shared" si="1"/>
        <v>3.1969999999999996</v>
      </c>
      <c r="Q48" s="198">
        <f t="shared" si="1"/>
        <v>0.57399999999999984</v>
      </c>
      <c r="R48" s="198">
        <f t="shared" si="1"/>
        <v>0.90400000000000003</v>
      </c>
      <c r="S48" s="198">
        <f t="shared" si="1"/>
        <v>0.17200000000000001</v>
      </c>
      <c r="T48" s="198">
        <f t="shared" si="1"/>
        <v>8.5609999999999982</v>
      </c>
      <c r="U48" s="310">
        <f>B48+D48+F48+H48+J48+L48+N48+P48+Q48+R48+S48+T48</f>
        <v>108.3974229463917</v>
      </c>
    </row>
    <row r="49" spans="1:21" x14ac:dyDescent="0.35">
      <c r="A49" s="197" t="s">
        <v>93</v>
      </c>
      <c r="B49" s="198"/>
      <c r="C49" s="347"/>
      <c r="D49" s="198"/>
      <c r="E49" s="347"/>
      <c r="F49" s="198"/>
      <c r="G49" s="347"/>
      <c r="H49" s="198"/>
      <c r="I49" s="347"/>
      <c r="J49" s="198"/>
      <c r="K49" s="347"/>
      <c r="L49" s="198"/>
      <c r="M49" s="347"/>
      <c r="N49" s="198"/>
      <c r="O49" s="347"/>
      <c r="P49" s="198"/>
      <c r="Q49" s="198"/>
      <c r="R49" s="198"/>
      <c r="S49" s="198"/>
      <c r="T49" s="198"/>
      <c r="U49" s="199"/>
    </row>
    <row r="50" spans="1:21" ht="31" x14ac:dyDescent="0.35">
      <c r="A50" s="216" t="s">
        <v>94</v>
      </c>
      <c r="B50" s="220">
        <f>3.376-0.946</f>
        <v>2.4299999999999997</v>
      </c>
      <c r="C50" s="344">
        <v>0.94620450007835077</v>
      </c>
      <c r="D50" s="214">
        <v>4.1099999999999994</v>
      </c>
      <c r="E50" s="344"/>
      <c r="F50" s="214">
        <v>3.4690000000000003</v>
      </c>
      <c r="G50" s="344"/>
      <c r="H50" s="214">
        <v>3.492</v>
      </c>
      <c r="I50" s="344"/>
      <c r="J50" s="220">
        <f>2.655+0.946</f>
        <v>3.601</v>
      </c>
      <c r="K50" s="344"/>
      <c r="L50" s="214">
        <v>2.2000000000000002</v>
      </c>
      <c r="M50" s="344"/>
      <c r="N50" s="214">
        <v>-0.45100000000000001</v>
      </c>
      <c r="O50" s="344"/>
      <c r="P50" s="214"/>
      <c r="Q50" s="214"/>
      <c r="R50" s="214"/>
      <c r="S50" s="214"/>
      <c r="T50" s="214"/>
      <c r="U50" s="310">
        <f t="shared" ref="U50:U55" si="2">B50+D50+F50+H50+J50+L50+N50+P50+Q50+R50+S50+T50</f>
        <v>18.850999999999999</v>
      </c>
    </row>
    <row r="51" spans="1:21" ht="31" x14ac:dyDescent="0.35">
      <c r="A51" s="216" t="s">
        <v>95</v>
      </c>
      <c r="B51" s="220">
        <f>0.20604218554959-0.194</f>
        <v>1.2042185549589995E-2</v>
      </c>
      <c r="C51" s="344">
        <v>0.19357891595951088</v>
      </c>
      <c r="D51" s="214">
        <v>0.55158294683948306</v>
      </c>
      <c r="E51" s="344"/>
      <c r="F51" s="214">
        <v>0</v>
      </c>
      <c r="G51" s="344"/>
      <c r="H51" s="214">
        <v>0.41159975905210122</v>
      </c>
      <c r="I51" s="344"/>
      <c r="J51" s="220">
        <f>0.267764752209326+0.194</f>
        <v>0.461764752209326</v>
      </c>
      <c r="K51" s="344"/>
      <c r="L51" s="214">
        <v>8.1095872403186539E-2</v>
      </c>
      <c r="M51" s="344"/>
      <c r="N51" s="214">
        <v>4.596337502890669E-2</v>
      </c>
      <c r="O51" s="344"/>
      <c r="P51" s="214"/>
      <c r="Q51" s="214"/>
      <c r="R51" s="214"/>
      <c r="S51" s="214"/>
      <c r="T51" s="214"/>
      <c r="U51" s="310">
        <f t="shared" si="2"/>
        <v>1.5640488910825936</v>
      </c>
    </row>
    <row r="52" spans="1:21" ht="31" x14ac:dyDescent="0.35">
      <c r="A52" s="216" t="s">
        <v>96</v>
      </c>
      <c r="B52" s="214"/>
      <c r="C52" s="344"/>
      <c r="D52" s="214"/>
      <c r="E52" s="344"/>
      <c r="F52" s="214"/>
      <c r="G52" s="344"/>
      <c r="H52" s="214"/>
      <c r="I52" s="344"/>
      <c r="J52" s="214"/>
      <c r="K52" s="344"/>
      <c r="L52" s="214"/>
      <c r="M52" s="344"/>
      <c r="N52" s="214"/>
      <c r="O52" s="344"/>
      <c r="P52" s="214"/>
      <c r="Q52" s="214"/>
      <c r="R52" s="214"/>
      <c r="S52" s="214"/>
      <c r="T52" s="214">
        <v>4.01</v>
      </c>
      <c r="U52" s="310">
        <f t="shared" si="2"/>
        <v>4.01</v>
      </c>
    </row>
    <row r="53" spans="1:21" ht="31" x14ac:dyDescent="0.35">
      <c r="A53" s="216" t="s">
        <v>97</v>
      </c>
      <c r="B53" s="214"/>
      <c r="C53" s="344"/>
      <c r="D53" s="214"/>
      <c r="E53" s="344"/>
      <c r="F53" s="214"/>
      <c r="G53" s="344"/>
      <c r="H53" s="214"/>
      <c r="I53" s="344"/>
      <c r="J53" s="214"/>
      <c r="K53" s="344"/>
      <c r="L53" s="214"/>
      <c r="M53" s="344"/>
      <c r="N53" s="214"/>
      <c r="O53" s="344"/>
      <c r="P53" s="214"/>
      <c r="Q53" s="214"/>
      <c r="R53" s="214"/>
      <c r="S53" s="214"/>
      <c r="T53" s="214">
        <v>0.53</v>
      </c>
      <c r="U53" s="310">
        <f t="shared" si="2"/>
        <v>0.53</v>
      </c>
    </row>
    <row r="54" spans="1:21" ht="31" x14ac:dyDescent="0.35">
      <c r="A54" s="216" t="s">
        <v>99</v>
      </c>
      <c r="B54" s="214"/>
      <c r="C54" s="344"/>
      <c r="D54" s="214"/>
      <c r="E54" s="344"/>
      <c r="F54" s="214"/>
      <c r="G54" s="344"/>
      <c r="H54" s="214"/>
      <c r="I54" s="344"/>
      <c r="J54" s="214"/>
      <c r="K54" s="344"/>
      <c r="L54" s="214"/>
      <c r="M54" s="344"/>
      <c r="N54" s="214"/>
      <c r="O54" s="344"/>
      <c r="P54" s="214"/>
      <c r="Q54" s="214"/>
      <c r="R54" s="214"/>
      <c r="S54" s="214"/>
      <c r="T54" s="214">
        <v>2.3319999999999999</v>
      </c>
      <c r="U54" s="310">
        <f t="shared" si="2"/>
        <v>2.3319999999999999</v>
      </c>
    </row>
    <row r="55" spans="1:21" ht="29" x14ac:dyDescent="0.35">
      <c r="A55" s="348" t="s">
        <v>177</v>
      </c>
      <c r="B55" s="198">
        <f>SUM(B48:B54)</f>
        <v>14.003360185549589</v>
      </c>
      <c r="C55" s="347">
        <f t="shared" ref="C55:T55" si="3">SUM(C48:C54)</f>
        <v>6.0429053028821453</v>
      </c>
      <c r="D55" s="198">
        <f t="shared" si="3"/>
        <v>21.832847130365671</v>
      </c>
      <c r="E55" s="347">
        <f t="shared" si="3"/>
        <v>1.9539127863856531E-2</v>
      </c>
      <c r="F55" s="198">
        <f t="shared" si="3"/>
        <v>28.065000000000001</v>
      </c>
      <c r="G55" s="347">
        <f t="shared" si="3"/>
        <v>0</v>
      </c>
      <c r="H55" s="198">
        <f t="shared" si="3"/>
        <v>12.779709412455492</v>
      </c>
      <c r="I55" s="347">
        <f t="shared" si="3"/>
        <v>0.50367205885706157</v>
      </c>
      <c r="J55" s="198">
        <f t="shared" si="3"/>
        <v>20.83336199852917</v>
      </c>
      <c r="K55" s="347">
        <f t="shared" si="3"/>
        <v>0.16630296611699324</v>
      </c>
      <c r="L55" s="198">
        <f t="shared" si="3"/>
        <v>15.038163083465721</v>
      </c>
      <c r="M55" s="347">
        <f t="shared" si="3"/>
        <v>1.0174702468501939E-2</v>
      </c>
      <c r="N55" s="198">
        <f t="shared" si="3"/>
        <v>2.8520300271086465</v>
      </c>
      <c r="O55" s="347">
        <f t="shared" si="3"/>
        <v>6.0662489791641905E-3</v>
      </c>
      <c r="P55" s="198">
        <f t="shared" si="3"/>
        <v>3.1969999999999996</v>
      </c>
      <c r="Q55" s="198">
        <f t="shared" si="3"/>
        <v>0.57399999999999984</v>
      </c>
      <c r="R55" s="198">
        <f t="shared" si="3"/>
        <v>0.90400000000000003</v>
      </c>
      <c r="S55" s="198">
        <f t="shared" si="3"/>
        <v>0.17200000000000001</v>
      </c>
      <c r="T55" s="198">
        <f t="shared" si="3"/>
        <v>15.432999999999996</v>
      </c>
      <c r="U55" s="310">
        <f t="shared" si="2"/>
        <v>135.68447183747426</v>
      </c>
    </row>
    <row r="56" spans="1:21" ht="29" x14ac:dyDescent="0.35">
      <c r="A56" s="348" t="s">
        <v>178</v>
      </c>
      <c r="B56" s="309"/>
      <c r="C56" s="347"/>
      <c r="D56" s="309"/>
      <c r="E56" s="347"/>
      <c r="F56" s="309"/>
      <c r="G56" s="347"/>
      <c r="H56" s="309"/>
      <c r="I56" s="347"/>
      <c r="J56" s="309"/>
      <c r="K56" s="347"/>
      <c r="L56" s="309"/>
      <c r="M56" s="347"/>
      <c r="N56" s="309"/>
      <c r="O56" s="347"/>
      <c r="P56" s="309"/>
      <c r="Q56" s="309"/>
      <c r="R56" s="309"/>
      <c r="S56" s="309"/>
      <c r="T56" s="309"/>
      <c r="U56" s="310"/>
    </row>
    <row r="57" spans="1:21" x14ac:dyDescent="0.35">
      <c r="A57" s="197" t="s">
        <v>179</v>
      </c>
      <c r="B57" s="198"/>
      <c r="C57" s="347"/>
      <c r="D57" s="198"/>
      <c r="E57" s="347"/>
      <c r="F57" s="198"/>
      <c r="G57" s="347"/>
      <c r="H57" s="198"/>
      <c r="I57" s="347"/>
      <c r="J57" s="198"/>
      <c r="K57" s="347"/>
      <c r="L57" s="198"/>
      <c r="M57" s="347"/>
      <c r="N57" s="198"/>
      <c r="O57" s="347"/>
      <c r="P57" s="198"/>
      <c r="Q57" s="198"/>
      <c r="R57" s="198"/>
      <c r="S57" s="198"/>
      <c r="T57" s="198"/>
      <c r="U57" s="199"/>
    </row>
    <row r="58" spans="1:21" ht="31" x14ac:dyDescent="0.35">
      <c r="A58" s="216" t="s">
        <v>94</v>
      </c>
      <c r="B58" s="220">
        <f>4.815-1.351</f>
        <v>3.4640000000000004</v>
      </c>
      <c r="C58" s="344">
        <v>1.3509875022221272</v>
      </c>
      <c r="D58" s="214">
        <v>3.6070000000000002</v>
      </c>
      <c r="E58" s="344"/>
      <c r="F58" s="214">
        <v>-0.69899999999999995</v>
      </c>
      <c r="G58" s="344"/>
      <c r="H58" s="214">
        <v>2.5880000000000001</v>
      </c>
      <c r="I58" s="344"/>
      <c r="J58" s="220">
        <f>1.23+1.351</f>
        <v>2.581</v>
      </c>
      <c r="K58" s="344"/>
      <c r="L58" s="214">
        <v>1.1559999999999999</v>
      </c>
      <c r="M58" s="344"/>
      <c r="N58" s="214">
        <v>0.20499999999999999</v>
      </c>
      <c r="O58" s="344"/>
      <c r="P58" s="198"/>
      <c r="Q58" s="198"/>
      <c r="R58" s="198"/>
      <c r="S58" s="198"/>
      <c r="T58" s="198"/>
      <c r="U58" s="310">
        <f t="shared" ref="U58:U64" si="4">B58+D58+F58+H58+J58+L58+N58+P58+Q58+R58+S58+T58</f>
        <v>12.902000000000001</v>
      </c>
    </row>
    <row r="59" spans="1:21" ht="31" x14ac:dyDescent="0.35">
      <c r="A59" s="216" t="s">
        <v>99</v>
      </c>
      <c r="B59" s="198"/>
      <c r="C59" s="347"/>
      <c r="D59" s="198"/>
      <c r="E59" s="347"/>
      <c r="F59" s="198"/>
      <c r="G59" s="347"/>
      <c r="H59" s="198"/>
      <c r="I59" s="347"/>
      <c r="J59" s="198"/>
      <c r="K59" s="347"/>
      <c r="L59" s="198"/>
      <c r="M59" s="347"/>
      <c r="N59" s="198"/>
      <c r="O59" s="347"/>
      <c r="P59" s="198"/>
      <c r="Q59" s="198"/>
      <c r="R59" s="198"/>
      <c r="S59" s="198"/>
      <c r="T59" s="214">
        <v>5.6000000000000001E-2</v>
      </c>
      <c r="U59" s="310">
        <f t="shared" si="4"/>
        <v>5.6000000000000001E-2</v>
      </c>
    </row>
    <row r="60" spans="1:21" ht="31" x14ac:dyDescent="0.35">
      <c r="A60" s="216" t="s">
        <v>97</v>
      </c>
      <c r="B60" s="198"/>
      <c r="C60" s="347"/>
      <c r="D60" s="198"/>
      <c r="E60" s="347"/>
      <c r="F60" s="198"/>
      <c r="G60" s="347"/>
      <c r="H60" s="198"/>
      <c r="I60" s="347"/>
      <c r="J60" s="198"/>
      <c r="K60" s="347"/>
      <c r="L60" s="198"/>
      <c r="M60" s="347"/>
      <c r="N60" s="198"/>
      <c r="O60" s="347"/>
      <c r="P60" s="198"/>
      <c r="Q60" s="198"/>
      <c r="R60" s="198"/>
      <c r="S60" s="198"/>
      <c r="T60" s="214">
        <v>1.0209999999999999</v>
      </c>
      <c r="U60" s="310">
        <f t="shared" si="4"/>
        <v>1.0209999999999999</v>
      </c>
    </row>
    <row r="61" spans="1:21" ht="31" x14ac:dyDescent="0.35">
      <c r="A61" s="216" t="s">
        <v>96</v>
      </c>
      <c r="B61" s="198"/>
      <c r="C61" s="347"/>
      <c r="D61" s="198"/>
      <c r="E61" s="347"/>
      <c r="F61" s="198"/>
      <c r="G61" s="347"/>
      <c r="H61" s="198"/>
      <c r="I61" s="347"/>
      <c r="J61" s="198"/>
      <c r="K61" s="347"/>
      <c r="L61" s="198"/>
      <c r="M61" s="347"/>
      <c r="N61" s="198"/>
      <c r="O61" s="347"/>
      <c r="P61" s="198"/>
      <c r="Q61" s="198"/>
      <c r="R61" s="198"/>
      <c r="S61" s="198"/>
      <c r="T61" s="214">
        <v>-0.42899999999999999</v>
      </c>
      <c r="U61" s="310">
        <f t="shared" si="4"/>
        <v>-0.42899999999999999</v>
      </c>
    </row>
    <row r="62" spans="1:21" ht="31" x14ac:dyDescent="0.35">
      <c r="A62" s="216" t="s">
        <v>95</v>
      </c>
      <c r="B62" s="349">
        <f>0.195760304855152-0.184</f>
        <v>1.1760304855152004E-2</v>
      </c>
      <c r="C62" s="350">
        <v>0.18391897513940489</v>
      </c>
      <c r="D62" s="308">
        <v>0.52405795220130902</v>
      </c>
      <c r="E62" s="350"/>
      <c r="F62" s="308">
        <v>0</v>
      </c>
      <c r="G62" s="350"/>
      <c r="H62" s="308">
        <v>0.39106018068787057</v>
      </c>
      <c r="I62" s="350"/>
      <c r="J62" s="349">
        <f>0.254402802912154+0.184</f>
        <v>0.438402802912154</v>
      </c>
      <c r="K62" s="350"/>
      <c r="L62" s="308">
        <v>7.7049040524380566E-2</v>
      </c>
      <c r="M62" s="350"/>
      <c r="N62" s="308">
        <v>4.3669718819134104E-2</v>
      </c>
      <c r="O62" s="350"/>
      <c r="P62" s="198"/>
      <c r="Q62" s="198"/>
      <c r="R62" s="198"/>
      <c r="S62" s="198"/>
      <c r="T62" s="198"/>
      <c r="U62" s="310">
        <f t="shared" si="4"/>
        <v>1.4860000000000004</v>
      </c>
    </row>
    <row r="63" spans="1:21" ht="29" x14ac:dyDescent="0.35">
      <c r="A63" s="348" t="s">
        <v>180</v>
      </c>
      <c r="B63" s="198">
        <f>SUM(B55:B62)</f>
        <v>17.479120490404739</v>
      </c>
      <c r="C63" s="347">
        <f t="shared" ref="C63:T63" si="5">SUM(C55:C62)</f>
        <v>7.5778117802436773</v>
      </c>
      <c r="D63" s="198">
        <f t="shared" si="5"/>
        <v>25.963905082566981</v>
      </c>
      <c r="E63" s="347">
        <f t="shared" si="5"/>
        <v>1.9539127863856531E-2</v>
      </c>
      <c r="F63" s="198">
        <f t="shared" si="5"/>
        <v>27.366</v>
      </c>
      <c r="G63" s="347">
        <f t="shared" si="5"/>
        <v>0</v>
      </c>
      <c r="H63" s="198">
        <f t="shared" si="5"/>
        <v>15.758769593143365</v>
      </c>
      <c r="I63" s="347">
        <f t="shared" si="5"/>
        <v>0.50367205885706157</v>
      </c>
      <c r="J63" s="198">
        <f t="shared" si="5"/>
        <v>23.852764801441324</v>
      </c>
      <c r="K63" s="347">
        <f t="shared" si="5"/>
        <v>0.16630296611699324</v>
      </c>
      <c r="L63" s="198">
        <f t="shared" si="5"/>
        <v>16.2712121239901</v>
      </c>
      <c r="M63" s="347">
        <f t="shared" si="5"/>
        <v>1.0174702468501939E-2</v>
      </c>
      <c r="N63" s="198">
        <f t="shared" si="5"/>
        <v>3.1006997459277805</v>
      </c>
      <c r="O63" s="347">
        <f t="shared" si="5"/>
        <v>6.0662489791641905E-3</v>
      </c>
      <c r="P63" s="198">
        <f t="shared" si="5"/>
        <v>3.1969999999999996</v>
      </c>
      <c r="Q63" s="198">
        <f t="shared" si="5"/>
        <v>0.57399999999999984</v>
      </c>
      <c r="R63" s="198">
        <f t="shared" si="5"/>
        <v>0.90400000000000003</v>
      </c>
      <c r="S63" s="198">
        <f t="shared" si="5"/>
        <v>0.17200000000000001</v>
      </c>
      <c r="T63" s="198">
        <f t="shared" si="5"/>
        <v>16.080999999999996</v>
      </c>
      <c r="U63" s="310">
        <f>B63+D63+F63+H63+J63+L63+N63+P63+Q63+R63+S63+T63</f>
        <v>150.72047183747429</v>
      </c>
    </row>
    <row r="64" spans="1:21" x14ac:dyDescent="0.35">
      <c r="A64" s="216" t="s">
        <v>254</v>
      </c>
      <c r="B64" s="386"/>
      <c r="C64" s="350"/>
      <c r="D64" s="308"/>
      <c r="E64" s="350"/>
      <c r="F64" s="308"/>
      <c r="G64" s="350"/>
      <c r="H64" s="308"/>
      <c r="I64" s="350"/>
      <c r="J64" s="386"/>
      <c r="K64" s="350"/>
      <c r="L64" s="308"/>
      <c r="M64" s="350"/>
      <c r="N64" s="308"/>
      <c r="O64" s="350"/>
      <c r="P64" s="198"/>
      <c r="Q64" s="198"/>
      <c r="R64" s="198"/>
      <c r="S64" s="198"/>
      <c r="T64" s="410">
        <v>0.52</v>
      </c>
      <c r="U64" s="310">
        <f t="shared" si="4"/>
        <v>0.52</v>
      </c>
    </row>
    <row r="65" spans="1:21" x14ac:dyDescent="0.35">
      <c r="A65" s="348" t="s">
        <v>255</v>
      </c>
      <c r="B65" s="405">
        <f>SUM(B63:B64)</f>
        <v>17.479120490404739</v>
      </c>
      <c r="C65" s="406">
        <f t="shared" ref="C65:T65" si="6">SUM(C63:C64)</f>
        <v>7.5778117802436773</v>
      </c>
      <c r="D65" s="405">
        <f t="shared" si="6"/>
        <v>25.963905082566981</v>
      </c>
      <c r="E65" s="406">
        <f t="shared" si="6"/>
        <v>1.9539127863856531E-2</v>
      </c>
      <c r="F65" s="405">
        <f t="shared" si="6"/>
        <v>27.366</v>
      </c>
      <c r="G65" s="406">
        <f t="shared" si="6"/>
        <v>0</v>
      </c>
      <c r="H65" s="405">
        <f t="shared" si="6"/>
        <v>15.758769593143365</v>
      </c>
      <c r="I65" s="406">
        <f t="shared" si="6"/>
        <v>0.50367205885706157</v>
      </c>
      <c r="J65" s="405">
        <f t="shared" si="6"/>
        <v>23.852764801441324</v>
      </c>
      <c r="K65" s="406">
        <f t="shared" si="6"/>
        <v>0.16630296611699324</v>
      </c>
      <c r="L65" s="405">
        <f t="shared" si="6"/>
        <v>16.2712121239901</v>
      </c>
      <c r="M65" s="406">
        <f t="shared" si="6"/>
        <v>1.0174702468501939E-2</v>
      </c>
      <c r="N65" s="405">
        <f t="shared" si="6"/>
        <v>3.1006997459277805</v>
      </c>
      <c r="O65" s="406">
        <f t="shared" si="6"/>
        <v>6.0662489791641905E-3</v>
      </c>
      <c r="P65" s="405">
        <f t="shared" si="6"/>
        <v>3.1969999999999996</v>
      </c>
      <c r="Q65" s="405">
        <f t="shared" si="6"/>
        <v>0.57399999999999984</v>
      </c>
      <c r="R65" s="405">
        <f t="shared" si="6"/>
        <v>0.90400000000000003</v>
      </c>
      <c r="S65" s="405">
        <f t="shared" si="6"/>
        <v>0.17200000000000001</v>
      </c>
      <c r="T65" s="405">
        <f t="shared" si="6"/>
        <v>16.600999999999996</v>
      </c>
      <c r="U65" s="310">
        <f>B65+D65+F65+H65+J65+L65+N65+P65+Q65+R65+S65+T65</f>
        <v>151.2404718374743</v>
      </c>
    </row>
    <row r="66" spans="1:21" x14ac:dyDescent="0.35">
      <c r="A66" s="348" t="s">
        <v>256</v>
      </c>
      <c r="B66" s="198"/>
      <c r="C66" s="347"/>
      <c r="D66" s="198"/>
      <c r="E66" s="347"/>
      <c r="F66" s="198"/>
      <c r="G66" s="347"/>
      <c r="H66" s="198"/>
      <c r="I66" s="347"/>
      <c r="J66" s="198"/>
      <c r="K66" s="347"/>
      <c r="L66" s="198"/>
      <c r="M66" s="347"/>
      <c r="N66" s="198"/>
      <c r="O66" s="347"/>
      <c r="P66" s="198"/>
      <c r="Q66" s="198"/>
      <c r="R66" s="198"/>
      <c r="S66" s="198"/>
      <c r="T66" s="198"/>
      <c r="U66" s="310"/>
    </row>
    <row r="67" spans="1:21" x14ac:dyDescent="0.35">
      <c r="A67" s="197"/>
      <c r="B67" s="198"/>
      <c r="C67" s="347"/>
      <c r="D67" s="198"/>
      <c r="E67" s="347"/>
      <c r="F67" s="198"/>
      <c r="G67" s="347"/>
      <c r="H67" s="198"/>
      <c r="I67" s="347"/>
      <c r="J67" s="198"/>
      <c r="K67" s="347"/>
      <c r="L67" s="198"/>
      <c r="M67" s="347"/>
      <c r="N67" s="198"/>
      <c r="O67" s="347"/>
      <c r="P67" s="198"/>
      <c r="Q67" s="198"/>
      <c r="R67" s="198"/>
      <c r="S67" s="198"/>
      <c r="T67" s="198"/>
      <c r="U67" s="199"/>
    </row>
    <row r="68" spans="1:21" x14ac:dyDescent="0.35">
      <c r="A68" s="191" t="s">
        <v>81</v>
      </c>
      <c r="B68" s="214"/>
      <c r="C68" s="344"/>
      <c r="D68" s="214"/>
      <c r="E68" s="344"/>
      <c r="F68" s="214"/>
      <c r="G68" s="344"/>
      <c r="H68" s="214"/>
      <c r="I68" s="344"/>
      <c r="J68" s="214"/>
      <c r="K68" s="344"/>
      <c r="L68" s="214"/>
      <c r="M68" s="344"/>
      <c r="N68" s="214"/>
      <c r="O68" s="344"/>
      <c r="P68" s="214"/>
      <c r="Q68" s="214"/>
      <c r="R68" s="214"/>
      <c r="S68" s="214"/>
      <c r="T68" s="214"/>
      <c r="U68" s="310">
        <f t="shared" ref="U68:U94" si="7">B68+D68+F68+H68+J68+L68+N68+P68+Q68+R68+S68+T68</f>
        <v>0</v>
      </c>
    </row>
    <row r="69" spans="1:21" x14ac:dyDescent="0.35">
      <c r="A69" s="215" t="s">
        <v>63</v>
      </c>
      <c r="B69" s="220">
        <f>2.419-0.711</f>
        <v>1.7080000000000002</v>
      </c>
      <c r="C69" s="344">
        <v>0.71106504999999998</v>
      </c>
      <c r="D69" s="220">
        <f>0.211-0.076</f>
        <v>0.13500000000000001</v>
      </c>
      <c r="E69" s="344">
        <v>7.6347332949513486E-2</v>
      </c>
      <c r="F69" s="214">
        <v>2.1000000000000001E-2</v>
      </c>
      <c r="G69" s="344">
        <v>0</v>
      </c>
      <c r="H69" s="220">
        <f>0.168-0.098</f>
        <v>7.0000000000000007E-2</v>
      </c>
      <c r="I69" s="344">
        <v>9.8280000000000006E-2</v>
      </c>
      <c r="J69" s="220">
        <f>0.165-0.133</f>
        <v>3.2000000000000001E-2</v>
      </c>
      <c r="K69" s="344">
        <v>0.13320383208399947</v>
      </c>
      <c r="L69" s="220">
        <f>1.265-0.015</f>
        <v>1.25</v>
      </c>
      <c r="M69" s="344">
        <v>1.537753718357826E-2</v>
      </c>
      <c r="N69" s="220">
        <f>0.096-0.002</f>
        <v>9.4E-2</v>
      </c>
      <c r="O69" s="344">
        <v>2.1649066988838617E-3</v>
      </c>
      <c r="P69" s="214"/>
      <c r="Q69" s="214"/>
      <c r="R69" s="214"/>
      <c r="S69" s="214"/>
      <c r="T69" s="214"/>
      <c r="U69" s="310">
        <f t="shared" si="7"/>
        <v>3.31</v>
      </c>
    </row>
    <row r="70" spans="1:21" x14ac:dyDescent="0.35">
      <c r="A70" s="215" t="s">
        <v>64</v>
      </c>
      <c r="B70" s="214">
        <v>0</v>
      </c>
      <c r="C70" s="344">
        <v>0</v>
      </c>
      <c r="D70" s="214">
        <v>0</v>
      </c>
      <c r="E70" s="344"/>
      <c r="F70" s="214">
        <v>0</v>
      </c>
      <c r="G70" s="344"/>
      <c r="H70" s="214">
        <v>0</v>
      </c>
      <c r="I70" s="344"/>
      <c r="J70" s="214">
        <v>0</v>
      </c>
      <c r="K70" s="344"/>
      <c r="L70" s="214">
        <v>0</v>
      </c>
      <c r="M70" s="344"/>
      <c r="N70" s="214">
        <v>0</v>
      </c>
      <c r="O70" s="344"/>
      <c r="P70" s="214"/>
      <c r="Q70" s="214"/>
      <c r="R70" s="214"/>
      <c r="S70" s="214"/>
      <c r="T70" s="214"/>
      <c r="U70" s="310">
        <f t="shared" si="7"/>
        <v>0</v>
      </c>
    </row>
    <row r="71" spans="1:21" x14ac:dyDescent="0.35">
      <c r="A71" s="215" t="s">
        <v>65</v>
      </c>
      <c r="B71" s="214">
        <v>0</v>
      </c>
      <c r="C71" s="344">
        <v>0</v>
      </c>
      <c r="D71" s="214">
        <v>0</v>
      </c>
      <c r="E71" s="344"/>
      <c r="F71" s="214">
        <v>0.44600000000000001</v>
      </c>
      <c r="G71" s="344"/>
      <c r="H71" s="214">
        <v>0</v>
      </c>
      <c r="I71" s="344"/>
      <c r="J71" s="214">
        <v>0</v>
      </c>
      <c r="K71" s="344"/>
      <c r="L71" s="214">
        <v>0</v>
      </c>
      <c r="M71" s="344"/>
      <c r="N71" s="214">
        <v>0</v>
      </c>
      <c r="O71" s="344"/>
      <c r="P71" s="214"/>
      <c r="Q71" s="214"/>
      <c r="R71" s="214"/>
      <c r="S71" s="214"/>
      <c r="T71" s="214"/>
      <c r="U71" s="310">
        <f t="shared" si="7"/>
        <v>0.44600000000000001</v>
      </c>
    </row>
    <row r="72" spans="1:21" x14ac:dyDescent="0.35">
      <c r="A72" s="215" t="s">
        <v>66</v>
      </c>
      <c r="B72" s="220">
        <f>0.479-0.141</f>
        <v>0.33799999999999997</v>
      </c>
      <c r="C72" s="344">
        <v>0.14080204999999998</v>
      </c>
      <c r="D72" s="214">
        <v>1.337</v>
      </c>
      <c r="E72" s="344"/>
      <c r="F72" s="214">
        <v>5.7000000000000002E-2</v>
      </c>
      <c r="G72" s="344"/>
      <c r="H72" s="345">
        <f>1.675</f>
        <v>1.675</v>
      </c>
      <c r="I72" s="344"/>
      <c r="J72" s="220">
        <f>0.734+0.141</f>
        <v>0.875</v>
      </c>
      <c r="K72" s="344"/>
      <c r="L72" s="214">
        <v>0.254</v>
      </c>
      <c r="M72" s="344"/>
      <c r="N72" s="214">
        <v>9.2999999999999999E-2</v>
      </c>
      <c r="O72" s="344"/>
      <c r="P72" s="214"/>
      <c r="Q72" s="214"/>
      <c r="R72" s="214"/>
      <c r="S72" s="214"/>
      <c r="T72" s="214"/>
      <c r="U72" s="310">
        <f t="shared" si="7"/>
        <v>4.6289999999999996</v>
      </c>
    </row>
    <row r="73" spans="1:21" x14ac:dyDescent="0.35">
      <c r="A73" s="215" t="s">
        <v>67</v>
      </c>
      <c r="B73" s="214">
        <v>0</v>
      </c>
      <c r="C73" s="344">
        <v>0</v>
      </c>
      <c r="D73" s="220">
        <v>7.5999999999999998E-2</v>
      </c>
      <c r="E73" s="344"/>
      <c r="F73" s="214">
        <v>0</v>
      </c>
      <c r="G73" s="344"/>
      <c r="H73" s="220">
        <f>0.098</f>
        <v>9.8000000000000004E-2</v>
      </c>
      <c r="I73" s="344"/>
      <c r="J73" s="220">
        <f>0.711+0.133</f>
        <v>0.84399999999999997</v>
      </c>
      <c r="K73" s="344"/>
      <c r="L73" s="220">
        <v>1.4999999999999999E-2</v>
      </c>
      <c r="M73" s="344"/>
      <c r="N73" s="220">
        <v>2E-3</v>
      </c>
      <c r="O73" s="344"/>
      <c r="P73" s="214"/>
      <c r="Q73" s="214"/>
      <c r="R73" s="214"/>
      <c r="S73" s="214"/>
      <c r="T73" s="214"/>
      <c r="U73" s="310">
        <f t="shared" si="7"/>
        <v>1.0349999999999999</v>
      </c>
    </row>
    <row r="74" spans="1:21" x14ac:dyDescent="0.35">
      <c r="A74" s="215" t="s">
        <v>68</v>
      </c>
      <c r="B74" s="214">
        <v>0</v>
      </c>
      <c r="C74" s="344">
        <v>0</v>
      </c>
      <c r="D74" s="214">
        <v>0</v>
      </c>
      <c r="E74" s="344"/>
      <c r="F74" s="214">
        <v>0</v>
      </c>
      <c r="G74" s="344"/>
      <c r="H74" s="214">
        <v>0</v>
      </c>
      <c r="I74" s="344"/>
      <c r="J74" s="214">
        <v>0</v>
      </c>
      <c r="K74" s="344"/>
      <c r="L74" s="214">
        <v>9.9000000000000005E-2</v>
      </c>
      <c r="M74" s="344"/>
      <c r="N74" s="214">
        <v>0</v>
      </c>
      <c r="O74" s="344"/>
      <c r="P74" s="214"/>
      <c r="Q74" s="214"/>
      <c r="R74" s="214"/>
      <c r="S74" s="214"/>
      <c r="T74" s="214"/>
      <c r="U74" s="310">
        <f t="shared" si="7"/>
        <v>9.9000000000000005E-2</v>
      </c>
    </row>
    <row r="75" spans="1:21" x14ac:dyDescent="0.35">
      <c r="A75" s="215" t="s">
        <v>69</v>
      </c>
      <c r="B75" s="214">
        <v>0</v>
      </c>
      <c r="C75" s="344">
        <v>0</v>
      </c>
      <c r="D75" s="214">
        <v>0</v>
      </c>
      <c r="E75" s="344"/>
      <c r="F75" s="214">
        <v>0</v>
      </c>
      <c r="G75" s="344"/>
      <c r="H75" s="214">
        <v>0</v>
      </c>
      <c r="I75" s="344"/>
      <c r="J75" s="214">
        <v>0</v>
      </c>
      <c r="K75" s="344"/>
      <c r="L75" s="214">
        <v>0</v>
      </c>
      <c r="M75" s="344"/>
      <c r="N75" s="214">
        <v>0</v>
      </c>
      <c r="O75" s="344"/>
      <c r="P75" s="214"/>
      <c r="Q75" s="214"/>
      <c r="R75" s="214"/>
      <c r="S75" s="214"/>
      <c r="T75" s="214"/>
      <c r="U75" s="310">
        <f t="shared" si="7"/>
        <v>0</v>
      </c>
    </row>
    <row r="76" spans="1:21" x14ac:dyDescent="0.35">
      <c r="A76" s="215" t="s">
        <v>76</v>
      </c>
      <c r="B76" s="220">
        <f>0.227-0.067</f>
        <v>0.16</v>
      </c>
      <c r="C76" s="344">
        <v>6.6726649999999998E-2</v>
      </c>
      <c r="D76" s="214">
        <v>0.36309999999999998</v>
      </c>
      <c r="E76" s="344"/>
      <c r="F76" s="214">
        <v>0</v>
      </c>
      <c r="G76" s="344"/>
      <c r="H76" s="214">
        <v>0.28790000000000004</v>
      </c>
      <c r="I76" s="344"/>
      <c r="J76" s="220">
        <f>0.1867+0.067</f>
        <v>0.25370000000000004</v>
      </c>
      <c r="K76" s="344"/>
      <c r="L76" s="214">
        <v>0.1305</v>
      </c>
      <c r="M76" s="344"/>
      <c r="N76" s="214">
        <v>5.3599999999999995E-2</v>
      </c>
      <c r="O76" s="344"/>
      <c r="P76" s="214"/>
      <c r="Q76" s="214"/>
      <c r="R76" s="214"/>
      <c r="S76" s="214"/>
      <c r="T76" s="214"/>
      <c r="U76" s="310">
        <f t="shared" si="7"/>
        <v>1.2488000000000004</v>
      </c>
    </row>
    <row r="77" spans="1:21" x14ac:dyDescent="0.35">
      <c r="A77" s="215" t="s">
        <v>77</v>
      </c>
      <c r="B77" s="220">
        <f>1.728-0.508</f>
        <v>1.22</v>
      </c>
      <c r="C77" s="344">
        <v>0.50794559999999989</v>
      </c>
      <c r="D77" s="214">
        <v>2.0579999999999998</v>
      </c>
      <c r="E77" s="344"/>
      <c r="F77" s="214">
        <v>3.177</v>
      </c>
      <c r="G77" s="344"/>
      <c r="H77" s="214">
        <v>1.476</v>
      </c>
      <c r="I77" s="344"/>
      <c r="J77" s="220">
        <f>1.119+0.508</f>
        <v>1.627</v>
      </c>
      <c r="K77" s="344"/>
      <c r="L77" s="214">
        <v>1.6920000000000002</v>
      </c>
      <c r="M77" s="344"/>
      <c r="N77" s="214">
        <v>0.91399999999999992</v>
      </c>
      <c r="O77" s="344"/>
      <c r="P77" s="214"/>
      <c r="Q77" s="214"/>
      <c r="R77" s="214"/>
      <c r="S77" s="214"/>
      <c r="T77" s="214"/>
      <c r="U77" s="310">
        <f t="shared" si="7"/>
        <v>12.164</v>
      </c>
    </row>
    <row r="78" spans="1:21" x14ac:dyDescent="0.35">
      <c r="A78" s="215" t="s">
        <v>78</v>
      </c>
      <c r="B78" s="214">
        <v>0</v>
      </c>
      <c r="C78" s="344">
        <v>0</v>
      </c>
      <c r="D78" s="214">
        <v>0</v>
      </c>
      <c r="E78" s="344"/>
      <c r="F78" s="214">
        <v>0</v>
      </c>
      <c r="G78" s="344"/>
      <c r="H78" s="214">
        <v>0</v>
      </c>
      <c r="I78" s="344"/>
      <c r="J78" s="214">
        <v>0</v>
      </c>
      <c r="K78" s="344"/>
      <c r="L78" s="214">
        <v>0</v>
      </c>
      <c r="M78" s="344"/>
      <c r="N78" s="214">
        <v>0</v>
      </c>
      <c r="O78" s="344"/>
      <c r="P78" s="214"/>
      <c r="Q78" s="214"/>
      <c r="R78" s="214"/>
      <c r="S78" s="214"/>
      <c r="T78" s="214"/>
      <c r="U78" s="310">
        <f t="shared" si="7"/>
        <v>0</v>
      </c>
    </row>
    <row r="79" spans="1:21" x14ac:dyDescent="0.35">
      <c r="A79" s="197" t="s">
        <v>175</v>
      </c>
      <c r="B79" s="198">
        <f>SUM(B69:B78)</f>
        <v>3.4260000000000002</v>
      </c>
      <c r="C79" s="347">
        <f t="shared" ref="C79:T79" si="8">SUM(C69:C78)</f>
        <v>1.4265393499999999</v>
      </c>
      <c r="D79" s="198">
        <f t="shared" si="8"/>
        <v>3.9691000000000001</v>
      </c>
      <c r="E79" s="347">
        <f t="shared" si="8"/>
        <v>7.6347332949513486E-2</v>
      </c>
      <c r="F79" s="198">
        <f t="shared" si="8"/>
        <v>3.7010000000000001</v>
      </c>
      <c r="G79" s="347">
        <f t="shared" si="8"/>
        <v>0</v>
      </c>
      <c r="H79" s="198">
        <f t="shared" si="8"/>
        <v>3.6069000000000004</v>
      </c>
      <c r="I79" s="347">
        <f t="shared" si="8"/>
        <v>9.8280000000000006E-2</v>
      </c>
      <c r="J79" s="198">
        <f t="shared" si="8"/>
        <v>3.6316999999999995</v>
      </c>
      <c r="K79" s="347">
        <f t="shared" si="8"/>
        <v>0.13320383208399947</v>
      </c>
      <c r="L79" s="198">
        <f t="shared" si="8"/>
        <v>3.4405000000000001</v>
      </c>
      <c r="M79" s="347">
        <f t="shared" si="8"/>
        <v>1.537753718357826E-2</v>
      </c>
      <c r="N79" s="198">
        <f t="shared" si="8"/>
        <v>1.1565999999999999</v>
      </c>
      <c r="O79" s="347">
        <f t="shared" si="8"/>
        <v>2.1649066988838617E-3</v>
      </c>
      <c r="P79" s="198">
        <f t="shared" si="8"/>
        <v>0</v>
      </c>
      <c r="Q79" s="198">
        <f t="shared" si="8"/>
        <v>0</v>
      </c>
      <c r="R79" s="198">
        <f t="shared" si="8"/>
        <v>0</v>
      </c>
      <c r="S79" s="198">
        <f t="shared" si="8"/>
        <v>0</v>
      </c>
      <c r="T79" s="198">
        <f t="shared" si="8"/>
        <v>0</v>
      </c>
      <c r="U79" s="310">
        <f t="shared" si="7"/>
        <v>22.931799999999999</v>
      </c>
    </row>
    <row r="80" spans="1:21" x14ac:dyDescent="0.35">
      <c r="A80" s="197" t="s">
        <v>89</v>
      </c>
      <c r="B80" s="214"/>
      <c r="C80" s="344"/>
      <c r="D80" s="214"/>
      <c r="E80" s="344"/>
      <c r="F80" s="214"/>
      <c r="G80" s="344"/>
      <c r="H80" s="214"/>
      <c r="I80" s="344"/>
      <c r="J80" s="214"/>
      <c r="K80" s="344"/>
      <c r="L80" s="214"/>
      <c r="M80" s="344"/>
      <c r="N80" s="214"/>
      <c r="O80" s="344"/>
      <c r="P80" s="214"/>
      <c r="Q80" s="214"/>
      <c r="R80" s="214"/>
      <c r="S80" s="214"/>
      <c r="T80" s="214"/>
      <c r="U80" s="310">
        <f t="shared" si="7"/>
        <v>0</v>
      </c>
    </row>
    <row r="81" spans="1:21" x14ac:dyDescent="0.35">
      <c r="A81" s="215" t="s">
        <v>88</v>
      </c>
      <c r="B81" s="220">
        <f>0.015482-0.004</f>
        <v>1.1481999999999999E-2</v>
      </c>
      <c r="C81" s="344">
        <v>4.3379344030422713E-3</v>
      </c>
      <c r="D81" s="214">
        <v>6.9154999999999994E-2</v>
      </c>
      <c r="E81" s="344"/>
      <c r="F81" s="214">
        <v>0</v>
      </c>
      <c r="G81" s="344"/>
      <c r="H81" s="214">
        <v>4.9888000000000002E-2</v>
      </c>
      <c r="I81" s="344"/>
      <c r="J81" s="220">
        <f>0.030964+0.004</f>
        <v>3.4963999999999995E-2</v>
      </c>
      <c r="K81" s="344"/>
      <c r="L81" s="214">
        <v>3.784E-3</v>
      </c>
      <c r="M81" s="344"/>
      <c r="N81" s="214">
        <v>3.784E-3</v>
      </c>
      <c r="O81" s="344"/>
      <c r="P81" s="214"/>
      <c r="Q81" s="214"/>
      <c r="R81" s="214"/>
      <c r="S81" s="214"/>
      <c r="T81" s="214"/>
      <c r="U81" s="310">
        <f t="shared" si="7"/>
        <v>0.17305700000000002</v>
      </c>
    </row>
    <row r="82" spans="1:21" ht="31" x14ac:dyDescent="0.35">
      <c r="A82" s="216" t="s">
        <v>82</v>
      </c>
      <c r="B82" s="220">
        <f>-0.00482571898439694+0.001</f>
        <v>-3.8257189843969404E-3</v>
      </c>
      <c r="C82" s="344">
        <v>-1.3521284331371706E-3</v>
      </c>
      <c r="D82" s="214">
        <v>-7.7190245076410886E-3</v>
      </c>
      <c r="E82" s="344"/>
      <c r="F82" s="214">
        <v>0</v>
      </c>
      <c r="G82" s="344"/>
      <c r="H82" s="214">
        <v>-6.12037222734748E-3</v>
      </c>
      <c r="I82" s="344"/>
      <c r="J82" s="220">
        <f>-0.00396899442461193-0.001</f>
        <v>-4.9689944246119298E-3</v>
      </c>
      <c r="K82" s="344"/>
      <c r="L82" s="214">
        <v>-2.7742569491797358E-3</v>
      </c>
      <c r="M82" s="344"/>
      <c r="N82" s="214">
        <v>-1.1394649231879987E-3</v>
      </c>
      <c r="O82" s="344"/>
      <c r="P82" s="214"/>
      <c r="Q82" s="214"/>
      <c r="R82" s="214"/>
      <c r="S82" s="214"/>
      <c r="T82" s="214"/>
      <c r="U82" s="310">
        <f t="shared" si="7"/>
        <v>-2.6547832016365173E-2</v>
      </c>
    </row>
    <row r="83" spans="1:21" ht="31" x14ac:dyDescent="0.35">
      <c r="A83" s="216" t="s">
        <v>83</v>
      </c>
      <c r="B83" s="220">
        <f>0.0142058533377179-0.004</f>
        <v>1.02058533377179E-2</v>
      </c>
      <c r="C83" s="344">
        <v>3.980368164207413E-3</v>
      </c>
      <c r="D83" s="214">
        <v>1.6918776718184807E-2</v>
      </c>
      <c r="E83" s="344"/>
      <c r="F83" s="214">
        <v>2.6118053271950017E-2</v>
      </c>
      <c r="G83" s="344"/>
      <c r="H83" s="214">
        <v>1.2134166392634003E-2</v>
      </c>
      <c r="I83" s="344"/>
      <c r="J83" s="220">
        <f>0.00919927655376521+0.004</f>
        <v>1.319927655376521E-2</v>
      </c>
      <c r="K83" s="344"/>
      <c r="L83" s="214">
        <v>1.3909898059848736E-2</v>
      </c>
      <c r="M83" s="344"/>
      <c r="N83" s="214">
        <v>7.5139756658993756E-3</v>
      </c>
      <c r="O83" s="344"/>
      <c r="P83" s="214"/>
      <c r="Q83" s="214"/>
      <c r="R83" s="214"/>
      <c r="S83" s="214"/>
      <c r="T83" s="214"/>
      <c r="U83" s="310">
        <f t="shared" si="7"/>
        <v>0.10000000000000005</v>
      </c>
    </row>
    <row r="84" spans="1:21" ht="29" x14ac:dyDescent="0.35">
      <c r="A84" s="348" t="s">
        <v>176</v>
      </c>
      <c r="B84" s="198">
        <f>SUM(B79:B83)</f>
        <v>3.4438621343533211</v>
      </c>
      <c r="C84" s="347">
        <f t="shared" ref="C84:T84" si="9">SUM(C79:C83)</f>
        <v>1.4335055241341124</v>
      </c>
      <c r="D84" s="198">
        <f t="shared" si="9"/>
        <v>4.0474547522105437</v>
      </c>
      <c r="E84" s="347">
        <f t="shared" si="9"/>
        <v>7.6347332949513486E-2</v>
      </c>
      <c r="F84" s="198">
        <f t="shared" si="9"/>
        <v>3.7271180532719499</v>
      </c>
      <c r="G84" s="347">
        <f t="shared" si="9"/>
        <v>0</v>
      </c>
      <c r="H84" s="198">
        <f t="shared" si="9"/>
        <v>3.6628017941652873</v>
      </c>
      <c r="I84" s="347">
        <f t="shared" si="9"/>
        <v>9.8280000000000006E-2</v>
      </c>
      <c r="J84" s="198">
        <f t="shared" si="9"/>
        <v>3.674894282129153</v>
      </c>
      <c r="K84" s="347">
        <f t="shared" si="9"/>
        <v>0.13320383208399947</v>
      </c>
      <c r="L84" s="198">
        <f t="shared" si="9"/>
        <v>3.455419641110669</v>
      </c>
      <c r="M84" s="347">
        <f t="shared" si="9"/>
        <v>1.537753718357826E-2</v>
      </c>
      <c r="N84" s="198">
        <f t="shared" si="9"/>
        <v>1.1667585107427112</v>
      </c>
      <c r="O84" s="347">
        <f t="shared" si="9"/>
        <v>2.1649066988838617E-3</v>
      </c>
      <c r="P84" s="198">
        <f t="shared" si="9"/>
        <v>0</v>
      </c>
      <c r="Q84" s="198">
        <f t="shared" si="9"/>
        <v>0</v>
      </c>
      <c r="R84" s="198">
        <f t="shared" si="9"/>
        <v>0</v>
      </c>
      <c r="S84" s="198">
        <f t="shared" si="9"/>
        <v>0</v>
      </c>
      <c r="T84" s="198">
        <f t="shared" si="9"/>
        <v>0</v>
      </c>
      <c r="U84" s="310">
        <f t="shared" si="7"/>
        <v>23.178309167983635</v>
      </c>
    </row>
    <row r="85" spans="1:21" x14ac:dyDescent="0.35">
      <c r="A85" s="197" t="s">
        <v>93</v>
      </c>
      <c r="B85" s="198"/>
      <c r="C85" s="347"/>
      <c r="D85" s="198"/>
      <c r="E85" s="347"/>
      <c r="F85" s="198"/>
      <c r="G85" s="347"/>
      <c r="H85" s="198"/>
      <c r="I85" s="347"/>
      <c r="J85" s="198"/>
      <c r="K85" s="347"/>
      <c r="L85" s="198"/>
      <c r="M85" s="347"/>
      <c r="N85" s="198"/>
      <c r="O85" s="347"/>
      <c r="P85" s="198"/>
      <c r="Q85" s="198"/>
      <c r="R85" s="198"/>
      <c r="S85" s="198"/>
      <c r="T85" s="198"/>
      <c r="U85" s="310">
        <f t="shared" si="7"/>
        <v>0</v>
      </c>
    </row>
    <row r="86" spans="1:21" ht="31" x14ac:dyDescent="0.35">
      <c r="A86" s="216" t="s">
        <v>98</v>
      </c>
      <c r="B86" s="220">
        <f>0.0659151594870108-0.018</f>
        <v>4.7915159487010792E-2</v>
      </c>
      <c r="C86" s="344">
        <v>1.8474295180684792E-2</v>
      </c>
      <c r="D86" s="214">
        <v>7.850312397237752E-2</v>
      </c>
      <c r="E86" s="344"/>
      <c r="F86" s="214">
        <v>0.12118776718184808</v>
      </c>
      <c r="G86" s="344"/>
      <c r="H86" s="214">
        <v>5.6302532061821772E-2</v>
      </c>
      <c r="I86" s="344"/>
      <c r="J86" s="220">
        <f>0.0426846432094706+0.018</f>
        <v>6.0684643209470604E-2</v>
      </c>
      <c r="K86" s="344"/>
      <c r="L86" s="214">
        <v>6.4541926997698132E-2</v>
      </c>
      <c r="M86" s="344"/>
      <c r="N86" s="214">
        <v>3.4864847089773103E-2</v>
      </c>
      <c r="O86" s="344"/>
      <c r="P86" s="198"/>
      <c r="Q86" s="198"/>
      <c r="R86" s="198"/>
      <c r="S86" s="198"/>
      <c r="T86" s="198"/>
      <c r="U86" s="310">
        <f t="shared" si="7"/>
        <v>0.46400000000000002</v>
      </c>
    </row>
    <row r="87" spans="1:21" ht="29" x14ac:dyDescent="0.35">
      <c r="A87" s="348" t="s">
        <v>177</v>
      </c>
      <c r="B87" s="198">
        <f>SUM(B84:B86)</f>
        <v>3.491777293840332</v>
      </c>
      <c r="C87" s="347">
        <f t="shared" ref="C87:T87" si="10">SUM(C84:C86)</f>
        <v>1.4519798193147972</v>
      </c>
      <c r="D87" s="198">
        <f t="shared" si="10"/>
        <v>4.1259578761829214</v>
      </c>
      <c r="E87" s="347">
        <f t="shared" si="10"/>
        <v>7.6347332949513486E-2</v>
      </c>
      <c r="F87" s="198">
        <f t="shared" si="10"/>
        <v>3.8483058204537981</v>
      </c>
      <c r="G87" s="347">
        <f t="shared" si="10"/>
        <v>0</v>
      </c>
      <c r="H87" s="198">
        <f t="shared" si="10"/>
        <v>3.7191043262271091</v>
      </c>
      <c r="I87" s="347">
        <f t="shared" si="10"/>
        <v>9.8280000000000006E-2</v>
      </c>
      <c r="J87" s="198">
        <f t="shared" si="10"/>
        <v>3.7355789253386238</v>
      </c>
      <c r="K87" s="347">
        <f t="shared" si="10"/>
        <v>0.13320383208399947</v>
      </c>
      <c r="L87" s="198">
        <f t="shared" si="10"/>
        <v>3.5199615681083674</v>
      </c>
      <c r="M87" s="347">
        <f t="shared" si="10"/>
        <v>1.537753718357826E-2</v>
      </c>
      <c r="N87" s="198">
        <f t="shared" si="10"/>
        <v>1.2016233578324842</v>
      </c>
      <c r="O87" s="347">
        <f t="shared" si="10"/>
        <v>2.1649066988838617E-3</v>
      </c>
      <c r="P87" s="198">
        <f t="shared" si="10"/>
        <v>0</v>
      </c>
      <c r="Q87" s="198">
        <f t="shared" si="10"/>
        <v>0</v>
      </c>
      <c r="R87" s="198">
        <f t="shared" si="10"/>
        <v>0</v>
      </c>
      <c r="S87" s="198">
        <f t="shared" si="10"/>
        <v>0</v>
      </c>
      <c r="T87" s="198">
        <f t="shared" si="10"/>
        <v>0</v>
      </c>
      <c r="U87" s="310">
        <f t="shared" si="7"/>
        <v>23.642309167983637</v>
      </c>
    </row>
    <row r="88" spans="1:21" x14ac:dyDescent="0.35">
      <c r="A88" s="197" t="s">
        <v>181</v>
      </c>
      <c r="B88" s="309"/>
      <c r="C88" s="347"/>
      <c r="D88" s="309"/>
      <c r="E88" s="347"/>
      <c r="F88" s="309"/>
      <c r="G88" s="347"/>
      <c r="H88" s="309"/>
      <c r="I88" s="347"/>
      <c r="J88" s="309"/>
      <c r="K88" s="347"/>
      <c r="L88" s="309"/>
      <c r="M88" s="347"/>
      <c r="N88" s="309"/>
      <c r="O88" s="347"/>
      <c r="P88" s="309"/>
      <c r="Q88" s="309"/>
      <c r="R88" s="309"/>
      <c r="S88" s="309"/>
      <c r="T88" s="309"/>
      <c r="U88" s="310">
        <f t="shared" si="7"/>
        <v>0</v>
      </c>
    </row>
    <row r="89" spans="1:21" x14ac:dyDescent="0.35">
      <c r="A89" s="197" t="s">
        <v>179</v>
      </c>
      <c r="B89" s="307"/>
      <c r="C89" s="351"/>
      <c r="D89" s="307"/>
      <c r="E89" s="351"/>
      <c r="F89" s="307"/>
      <c r="G89" s="351"/>
      <c r="H89" s="307"/>
      <c r="I89" s="351"/>
      <c r="J89" s="307"/>
      <c r="K89" s="351"/>
      <c r="L89" s="307"/>
      <c r="M89" s="351"/>
      <c r="N89" s="307"/>
      <c r="O89" s="351"/>
      <c r="P89" s="307"/>
      <c r="Q89" s="307"/>
      <c r="R89" s="307"/>
      <c r="S89" s="307"/>
      <c r="T89" s="307"/>
      <c r="U89" s="310">
        <f t="shared" si="7"/>
        <v>0</v>
      </c>
    </row>
    <row r="90" spans="1:21" ht="31" x14ac:dyDescent="0.35">
      <c r="A90" s="216" t="s">
        <v>98</v>
      </c>
      <c r="B90" s="352">
        <f>0.312812890496547-0.088</f>
        <v>0.22481289049654699</v>
      </c>
      <c r="C90" s="353">
        <v>8.7768703134956161E-2</v>
      </c>
      <c r="D90" s="354">
        <v>0.3725514633344294</v>
      </c>
      <c r="E90" s="353"/>
      <c r="F90" s="354">
        <v>0.57511953304833929</v>
      </c>
      <c r="G90" s="353"/>
      <c r="H90" s="354">
        <v>0.26719434396580077</v>
      </c>
      <c r="I90" s="353"/>
      <c r="J90" s="352">
        <f>0.20256806971391+0.088</f>
        <v>0.29056806971391003</v>
      </c>
      <c r="K90" s="353"/>
      <c r="L90" s="354">
        <v>0.30629595527786913</v>
      </c>
      <c r="M90" s="353"/>
      <c r="N90" s="354">
        <v>0.16545774416310424</v>
      </c>
      <c r="O90" s="355"/>
      <c r="P90" s="307"/>
      <c r="Q90" s="307"/>
      <c r="R90" s="307"/>
      <c r="S90" s="307"/>
      <c r="T90" s="307"/>
      <c r="U90" s="310">
        <f t="shared" si="7"/>
        <v>2.2020000000000004</v>
      </c>
    </row>
    <row r="91" spans="1:21" ht="29" x14ac:dyDescent="0.35">
      <c r="A91" s="348" t="s">
        <v>182</v>
      </c>
      <c r="B91" s="405">
        <f>SUM(B87:B90)</f>
        <v>3.7165901843368792</v>
      </c>
      <c r="C91" s="406">
        <f t="shared" ref="C91:T91" si="11">SUM(C87:C90)</f>
        <v>1.5397485224497534</v>
      </c>
      <c r="D91" s="405">
        <f t="shared" si="11"/>
        <v>4.4985093395173505</v>
      </c>
      <c r="E91" s="406">
        <f t="shared" si="11"/>
        <v>7.6347332949513486E-2</v>
      </c>
      <c r="F91" s="405">
        <f t="shared" si="11"/>
        <v>4.4234253535021377</v>
      </c>
      <c r="G91" s="406">
        <f t="shared" si="11"/>
        <v>0</v>
      </c>
      <c r="H91" s="405">
        <f t="shared" si="11"/>
        <v>3.9862986701929097</v>
      </c>
      <c r="I91" s="406">
        <f t="shared" si="11"/>
        <v>9.8280000000000006E-2</v>
      </c>
      <c r="J91" s="405">
        <f t="shared" si="11"/>
        <v>4.0261469950525335</v>
      </c>
      <c r="K91" s="406">
        <f t="shared" si="11"/>
        <v>0.13320383208399947</v>
      </c>
      <c r="L91" s="405">
        <f t="shared" si="11"/>
        <v>3.8262575233862366</v>
      </c>
      <c r="M91" s="406">
        <f t="shared" si="11"/>
        <v>1.537753718357826E-2</v>
      </c>
      <c r="N91" s="405">
        <f t="shared" si="11"/>
        <v>1.3670811019955884</v>
      </c>
      <c r="O91" s="406">
        <f t="shared" si="11"/>
        <v>2.1649066988838617E-3</v>
      </c>
      <c r="P91" s="405">
        <f t="shared" si="11"/>
        <v>0</v>
      </c>
      <c r="Q91" s="405">
        <f t="shared" si="11"/>
        <v>0</v>
      </c>
      <c r="R91" s="405">
        <f t="shared" si="11"/>
        <v>0</v>
      </c>
      <c r="S91" s="405">
        <f t="shared" si="11"/>
        <v>0</v>
      </c>
      <c r="T91" s="405">
        <f t="shared" si="11"/>
        <v>0</v>
      </c>
      <c r="U91" s="310">
        <f t="shared" si="7"/>
        <v>25.844309167983635</v>
      </c>
    </row>
    <row r="92" spans="1:21" x14ac:dyDescent="0.35">
      <c r="A92" s="411" t="s">
        <v>258</v>
      </c>
      <c r="B92" s="307"/>
      <c r="C92" s="351"/>
      <c r="D92" s="307"/>
      <c r="E92" s="351"/>
      <c r="F92" s="307"/>
      <c r="G92" s="351"/>
      <c r="H92" s="307"/>
      <c r="I92" s="351"/>
      <c r="J92" s="307"/>
      <c r="K92" s="351"/>
      <c r="L92" s="307"/>
      <c r="M92" s="351"/>
      <c r="N92" s="307"/>
      <c r="O92" s="351"/>
      <c r="P92" s="307"/>
      <c r="Q92" s="307"/>
      <c r="R92" s="307"/>
      <c r="S92" s="307"/>
      <c r="T92" s="307"/>
      <c r="U92" s="310"/>
    </row>
    <row r="93" spans="1:21" x14ac:dyDescent="0.35">
      <c r="A93" s="217"/>
      <c r="B93" s="218"/>
      <c r="C93" s="356"/>
      <c r="D93" s="218"/>
      <c r="E93" s="356"/>
      <c r="F93" s="218"/>
      <c r="G93" s="356"/>
      <c r="H93" s="218"/>
      <c r="I93" s="356"/>
      <c r="J93" s="218"/>
      <c r="K93" s="356"/>
      <c r="L93" s="218"/>
      <c r="M93" s="356"/>
      <c r="N93" s="218"/>
      <c r="O93" s="356"/>
      <c r="P93" s="218"/>
      <c r="Q93" s="218"/>
      <c r="R93" s="218"/>
      <c r="S93" s="218"/>
      <c r="T93" s="218"/>
      <c r="U93" s="310">
        <f t="shared" si="7"/>
        <v>0</v>
      </c>
    </row>
    <row r="94" spans="1:21" ht="16" thickBot="1" x14ac:dyDescent="0.4">
      <c r="A94" s="219" t="s">
        <v>245</v>
      </c>
      <c r="B94" s="407">
        <f>B91+B65</f>
        <v>21.195710674741619</v>
      </c>
      <c r="C94" s="408">
        <f t="shared" ref="C94:T94" si="12">C91+C65</f>
        <v>9.1175603026934304</v>
      </c>
      <c r="D94" s="407">
        <f t="shared" si="12"/>
        <v>30.462414422084333</v>
      </c>
      <c r="E94" s="408">
        <f t="shared" si="12"/>
        <v>9.5886460813370017E-2</v>
      </c>
      <c r="F94" s="407">
        <f t="shared" si="12"/>
        <v>31.789425353502139</v>
      </c>
      <c r="G94" s="408">
        <f t="shared" si="12"/>
        <v>0</v>
      </c>
      <c r="H94" s="407">
        <f t="shared" si="12"/>
        <v>19.745068263336275</v>
      </c>
      <c r="I94" s="408">
        <f t="shared" si="12"/>
        <v>0.6019520588570616</v>
      </c>
      <c r="J94" s="407">
        <f t="shared" si="12"/>
        <v>27.87891179649386</v>
      </c>
      <c r="K94" s="408">
        <f t="shared" si="12"/>
        <v>0.29950679820099269</v>
      </c>
      <c r="L94" s="407">
        <f t="shared" si="12"/>
        <v>20.097469647376336</v>
      </c>
      <c r="M94" s="408">
        <f t="shared" si="12"/>
        <v>2.55522396520802E-2</v>
      </c>
      <c r="N94" s="407">
        <f t="shared" si="12"/>
        <v>4.4677808479233692</v>
      </c>
      <c r="O94" s="408">
        <f t="shared" si="12"/>
        <v>8.2311556780480521E-3</v>
      </c>
      <c r="P94" s="407">
        <f t="shared" si="12"/>
        <v>3.1969999999999996</v>
      </c>
      <c r="Q94" s="407">
        <f t="shared" si="12"/>
        <v>0.57399999999999984</v>
      </c>
      <c r="R94" s="407">
        <f t="shared" si="12"/>
        <v>0.90400000000000003</v>
      </c>
      <c r="S94" s="407">
        <f t="shared" si="12"/>
        <v>0.17200000000000001</v>
      </c>
      <c r="T94" s="407">
        <f t="shared" si="12"/>
        <v>16.600999999999996</v>
      </c>
      <c r="U94" s="403">
        <f t="shared" si="7"/>
        <v>177.08478100545793</v>
      </c>
    </row>
    <row r="95" spans="1:21" ht="16" thickTop="1" x14ac:dyDescent="0.35">
      <c r="A95" s="409" t="s">
        <v>257</v>
      </c>
    </row>
  </sheetData>
  <phoneticPr fontId="12" type="noConversion"/>
  <pageMargins left="0.75" right="0.75" top="1" bottom="1" header="0.5" footer="0.5"/>
  <pageSetup paperSize="8" scale="4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26"/>
  <sheetViews>
    <sheetView zoomScale="80" zoomScaleNormal="80" workbookViewId="0">
      <selection activeCell="M5" sqref="M5"/>
    </sheetView>
  </sheetViews>
  <sheetFormatPr defaultRowHeight="15.5" x14ac:dyDescent="0.35"/>
  <cols>
    <col min="1" max="1" width="37.07421875" customWidth="1"/>
    <col min="2" max="2" width="25.07421875" customWidth="1"/>
    <col min="3" max="4" width="11" customWidth="1"/>
    <col min="5" max="5" width="11.84375" customWidth="1"/>
    <col min="6" max="6" width="11.23046875" customWidth="1"/>
    <col min="7" max="7" width="11.84375" customWidth="1"/>
    <col min="8" max="8" width="11" customWidth="1"/>
    <col min="9" max="9" width="12.765625" customWidth="1"/>
    <col min="10" max="11" width="13.07421875" customWidth="1"/>
    <col min="12" max="12" width="11.53515625" customWidth="1"/>
  </cols>
  <sheetData>
    <row r="1" spans="1:12" x14ac:dyDescent="0.35">
      <c r="A1" s="5" t="s">
        <v>199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5">
      <c r="A2" s="9" t="s">
        <v>144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" thickBot="1" x14ac:dyDescent="0.4">
      <c r="A3" s="221" t="s">
        <v>188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35">
      <c r="A4" s="58"/>
      <c r="B4" s="116">
        <v>1</v>
      </c>
      <c r="C4" s="116">
        <f>B4+1</f>
        <v>2</v>
      </c>
      <c r="D4" s="116">
        <f t="shared" ref="D4:J4" si="0">C4+1</f>
        <v>3</v>
      </c>
      <c r="E4" s="116">
        <f t="shared" si="0"/>
        <v>4</v>
      </c>
      <c r="F4" s="116">
        <f t="shared" si="0"/>
        <v>5</v>
      </c>
      <c r="G4" s="116">
        <f t="shared" si="0"/>
        <v>6</v>
      </c>
      <c r="H4" s="116">
        <f t="shared" si="0"/>
        <v>7</v>
      </c>
      <c r="I4" s="388">
        <f t="shared" si="0"/>
        <v>8</v>
      </c>
      <c r="J4" s="388">
        <f t="shared" si="0"/>
        <v>9</v>
      </c>
      <c r="K4" s="388">
        <f>J4+1</f>
        <v>10</v>
      </c>
      <c r="L4" s="388">
        <f>K4+1</f>
        <v>11</v>
      </c>
    </row>
    <row r="5" spans="1:12" ht="93" customHeight="1" thickBot="1" x14ac:dyDescent="0.4">
      <c r="A5" s="49"/>
      <c r="B5" s="165" t="s">
        <v>128</v>
      </c>
      <c r="C5" s="165" t="s">
        <v>129</v>
      </c>
      <c r="D5" s="165" t="s">
        <v>269</v>
      </c>
      <c r="E5" s="165" t="s">
        <v>130</v>
      </c>
      <c r="F5" s="165" t="s">
        <v>131</v>
      </c>
      <c r="G5" s="165" t="s">
        <v>132</v>
      </c>
      <c r="H5" s="165" t="s">
        <v>133</v>
      </c>
      <c r="I5" s="315" t="s">
        <v>168</v>
      </c>
      <c r="J5" s="315" t="s">
        <v>169</v>
      </c>
      <c r="K5" s="315" t="s">
        <v>204</v>
      </c>
      <c r="L5" s="285" t="s">
        <v>145</v>
      </c>
    </row>
    <row r="6" spans="1:12" x14ac:dyDescent="0.35">
      <c r="A6" s="61" t="s">
        <v>7</v>
      </c>
      <c r="B6" s="70" t="s">
        <v>15</v>
      </c>
      <c r="C6" s="70" t="s">
        <v>15</v>
      </c>
      <c r="D6" s="70" t="s">
        <v>15</v>
      </c>
      <c r="E6" s="70" t="s">
        <v>15</v>
      </c>
      <c r="F6" s="70" t="s">
        <v>15</v>
      </c>
      <c r="G6" s="70" t="s">
        <v>15</v>
      </c>
      <c r="H6" s="70" t="s">
        <v>15</v>
      </c>
      <c r="I6" s="70" t="s">
        <v>15</v>
      </c>
      <c r="J6" s="70" t="s">
        <v>15</v>
      </c>
      <c r="K6" s="70" t="s">
        <v>15</v>
      </c>
      <c r="L6" s="129" t="s">
        <v>15</v>
      </c>
    </row>
    <row r="7" spans="1:12" x14ac:dyDescent="0.35">
      <c r="A7" s="31"/>
      <c r="B7" s="92"/>
      <c r="C7" s="242"/>
      <c r="D7" s="242"/>
      <c r="E7" s="242"/>
      <c r="F7" s="242"/>
      <c r="G7" s="242"/>
      <c r="H7" s="242"/>
      <c r="I7" s="242"/>
      <c r="J7" s="242"/>
      <c r="K7" s="242"/>
      <c r="L7" s="98"/>
    </row>
    <row r="8" spans="1:12" x14ac:dyDescent="0.35">
      <c r="A8" s="2" t="s">
        <v>20</v>
      </c>
      <c r="B8" s="167">
        <v>5.0839999999999996</v>
      </c>
      <c r="C8" s="168">
        <v>1.88</v>
      </c>
      <c r="D8" s="168">
        <v>1.8959999999999999</v>
      </c>
      <c r="E8" s="168">
        <v>0.71499999999999997</v>
      </c>
      <c r="F8" s="168">
        <f>0.161-0.161</f>
        <v>0</v>
      </c>
      <c r="G8" s="168">
        <v>0.36</v>
      </c>
      <c r="H8" s="168">
        <v>3.7999999999999999E-2</v>
      </c>
      <c r="I8" s="168">
        <v>0.06</v>
      </c>
      <c r="J8" s="167">
        <v>0.02</v>
      </c>
      <c r="K8" s="168">
        <v>0.16</v>
      </c>
      <c r="L8" s="32">
        <f>SUM(B8:K8)</f>
        <v>10.212999999999999</v>
      </c>
    </row>
    <row r="9" spans="1:12" x14ac:dyDescent="0.35">
      <c r="A9" s="2"/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32"/>
    </row>
    <row r="10" spans="1:12" x14ac:dyDescent="0.35">
      <c r="A10" s="2" t="s">
        <v>29</v>
      </c>
      <c r="B10" s="167">
        <v>5.6479999999999997</v>
      </c>
      <c r="C10" s="250">
        <v>2.21</v>
      </c>
      <c r="D10" s="250">
        <v>2.2360000000000002</v>
      </c>
      <c r="E10" s="250">
        <v>0.84</v>
      </c>
      <c r="F10" s="250"/>
      <c r="G10" s="250"/>
      <c r="H10" s="250">
        <v>4.4999999999999998E-2</v>
      </c>
      <c r="I10" s="250"/>
      <c r="J10" s="167">
        <v>0.02</v>
      </c>
      <c r="K10" s="168"/>
      <c r="L10" s="32">
        <f>SUM(B10:K10)</f>
        <v>10.998999999999999</v>
      </c>
    </row>
    <row r="11" spans="1:12" x14ac:dyDescent="0.35">
      <c r="A11" s="1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36"/>
    </row>
    <row r="12" spans="1:12" x14ac:dyDescent="0.35">
      <c r="A12" s="2" t="s">
        <v>21</v>
      </c>
      <c r="B12" s="167">
        <v>3.8250000000000002</v>
      </c>
      <c r="C12" s="168">
        <v>1.4139999999999999</v>
      </c>
      <c r="D12" s="168">
        <v>1.351</v>
      </c>
      <c r="E12" s="168">
        <v>0.53700000000000003</v>
      </c>
      <c r="F12" s="168"/>
      <c r="G12" s="168"/>
      <c r="H12" s="168">
        <v>3.1E-2</v>
      </c>
      <c r="I12" s="168"/>
      <c r="J12" s="168">
        <v>0.02</v>
      </c>
      <c r="K12" s="168"/>
      <c r="L12" s="32">
        <f>SUM(B12:K12)</f>
        <v>7.177999999999999</v>
      </c>
    </row>
    <row r="13" spans="1:12" x14ac:dyDescent="0.35">
      <c r="A13" s="2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32"/>
    </row>
    <row r="14" spans="1:12" x14ac:dyDescent="0.35">
      <c r="A14" s="2" t="s">
        <v>185</v>
      </c>
      <c r="B14" s="167">
        <f>3.154+1.2278546</f>
        <v>4.3818545999999996</v>
      </c>
      <c r="C14" s="168">
        <f>1.017+0.49800296</f>
        <v>1.5150029599999999</v>
      </c>
      <c r="D14" s="168">
        <v>1.5129999999999999</v>
      </c>
      <c r="E14" s="168">
        <f>0.386+0.18925256</f>
        <v>0.57525256000000002</v>
      </c>
      <c r="F14" s="168">
        <v>1.9E-2</v>
      </c>
      <c r="G14" s="168">
        <v>0.36</v>
      </c>
      <c r="H14" s="168">
        <f>0.02+0.00971992</f>
        <v>2.971992E-2</v>
      </c>
      <c r="I14" s="168"/>
      <c r="J14" s="167">
        <v>0.02</v>
      </c>
      <c r="K14" s="168"/>
      <c r="L14" s="32">
        <f>SUM(B14:K14)</f>
        <v>8.413830039999997</v>
      </c>
    </row>
    <row r="15" spans="1:12" x14ac:dyDescent="0.35">
      <c r="A15" s="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32"/>
    </row>
    <row r="16" spans="1:12" x14ac:dyDescent="0.35">
      <c r="A16" s="2" t="s">
        <v>23</v>
      </c>
      <c r="B16" s="167">
        <v>2.9180000000000001</v>
      </c>
      <c r="C16" s="168">
        <v>1.284</v>
      </c>
      <c r="D16" s="168">
        <v>1.2909999999999999</v>
      </c>
      <c r="E16" s="168">
        <v>0.48799999999999999</v>
      </c>
      <c r="F16" s="168">
        <f>0.169-0.169</f>
        <v>0</v>
      </c>
      <c r="G16" s="168"/>
      <c r="H16" s="168">
        <v>2.1999999999999999E-2</v>
      </c>
      <c r="I16" s="168"/>
      <c r="J16" s="167">
        <v>0.02</v>
      </c>
      <c r="K16" s="168"/>
      <c r="L16" s="32">
        <f>SUM(B16:K16)</f>
        <v>6.0229999999999997</v>
      </c>
    </row>
    <row r="17" spans="1:12" x14ac:dyDescent="0.35">
      <c r="A17" s="1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36"/>
    </row>
    <row r="18" spans="1:12" x14ac:dyDescent="0.35">
      <c r="A18" s="2" t="s">
        <v>22</v>
      </c>
      <c r="B18" s="167">
        <v>1.1599999999999999</v>
      </c>
      <c r="C18" s="168">
        <v>0.45300000000000001</v>
      </c>
      <c r="D18" s="168">
        <v>0.41599999999999998</v>
      </c>
      <c r="E18" s="168">
        <v>0.17199999999999999</v>
      </c>
      <c r="F18" s="168">
        <f>0.079-0.079</f>
        <v>0</v>
      </c>
      <c r="G18" s="168"/>
      <c r="H18" s="168">
        <v>0.01</v>
      </c>
      <c r="I18" s="168"/>
      <c r="J18" s="167">
        <v>0.02</v>
      </c>
      <c r="K18" s="168"/>
      <c r="L18" s="32">
        <f>SUM(B18:K18)</f>
        <v>2.2309999999999999</v>
      </c>
    </row>
    <row r="19" spans="1:12" x14ac:dyDescent="0.35">
      <c r="A19" s="2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367"/>
    </row>
    <row r="20" spans="1:12" x14ac:dyDescent="0.35">
      <c r="A20" s="2" t="s">
        <v>186</v>
      </c>
      <c r="B20" s="167">
        <f>4.295-1.2278546</f>
        <v>3.0671454000000002</v>
      </c>
      <c r="C20" s="168">
        <f>1.742-0.49800296</f>
        <v>1.24399704</v>
      </c>
      <c r="D20" s="168">
        <v>1.2969999999999999</v>
      </c>
      <c r="E20" s="168">
        <f>0.662-0.18925256</f>
        <v>0.47274744000000002</v>
      </c>
      <c r="F20" s="168"/>
      <c r="G20" s="168"/>
      <c r="H20" s="168">
        <f>0.034-0.00971992</f>
        <v>2.4280080000000002E-2</v>
      </c>
      <c r="I20" s="168"/>
      <c r="J20" s="167">
        <v>0.02</v>
      </c>
      <c r="K20" s="168"/>
      <c r="L20" s="32">
        <f>SUM(B20:K20)</f>
        <v>6.1251699599999991</v>
      </c>
    </row>
    <row r="21" spans="1:12" ht="16" thickBot="1" x14ac:dyDescent="0.4">
      <c r="A21" s="2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97"/>
    </row>
    <row r="22" spans="1:12" ht="16" thickBot="1" x14ac:dyDescent="0.4">
      <c r="A22" s="37" t="s">
        <v>0</v>
      </c>
      <c r="B22" s="66">
        <f t="shared" ref="B22:L22" si="1">+B20+B8+B10+B12+B14+B16+B18</f>
        <v>26.084</v>
      </c>
      <c r="C22" s="66">
        <f t="shared" si="1"/>
        <v>10</v>
      </c>
      <c r="D22" s="66">
        <f t="shared" si="1"/>
        <v>10</v>
      </c>
      <c r="E22" s="66">
        <f t="shared" si="1"/>
        <v>3.8</v>
      </c>
      <c r="F22" s="66">
        <f t="shared" si="1"/>
        <v>1.9E-2</v>
      </c>
      <c r="G22" s="66">
        <f t="shared" si="1"/>
        <v>0.72</v>
      </c>
      <c r="H22" s="66">
        <f t="shared" si="1"/>
        <v>0.2</v>
      </c>
      <c r="I22" s="66">
        <f t="shared" si="1"/>
        <v>0.06</v>
      </c>
      <c r="J22" s="66">
        <f t="shared" si="1"/>
        <v>0.14000000000000001</v>
      </c>
      <c r="K22" s="66">
        <f t="shared" si="1"/>
        <v>0.16</v>
      </c>
      <c r="L22" s="138">
        <f t="shared" si="1"/>
        <v>51.182999999999986</v>
      </c>
    </row>
    <row r="24" spans="1:12" x14ac:dyDescent="0.35">
      <c r="B24" s="282"/>
      <c r="C24" s="282"/>
      <c r="D24" s="282"/>
      <c r="E24" s="282"/>
      <c r="H24" s="282"/>
    </row>
    <row r="25" spans="1:12" x14ac:dyDescent="0.35">
      <c r="I25" s="62"/>
      <c r="J25" s="62"/>
      <c r="K25" s="62"/>
    </row>
    <row r="26" spans="1:12" x14ac:dyDescent="0.35">
      <c r="G26" s="62"/>
    </row>
  </sheetData>
  <pageMargins left="0.7" right="0.7" top="0.75" bottom="0.75" header="0.3" footer="0.3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  <pageSetUpPr fitToPage="1"/>
  </sheetPr>
  <dimension ref="A1:I26"/>
  <sheetViews>
    <sheetView topLeftCell="A3" zoomScale="55" zoomScaleNormal="85" workbookViewId="0">
      <selection activeCell="M5" sqref="M5"/>
    </sheetView>
  </sheetViews>
  <sheetFormatPr defaultColWidth="8.84375" defaultRowHeight="15.5" x14ac:dyDescent="0.35"/>
  <cols>
    <col min="1" max="1" width="46.23046875" style="54" customWidth="1"/>
    <col min="2" max="2" width="22.4609375" style="54" customWidth="1"/>
    <col min="3" max="4" width="18.765625" style="54" customWidth="1"/>
    <col min="5" max="8" width="17" style="54" customWidth="1"/>
    <col min="9" max="9" width="17.53515625" style="54" customWidth="1"/>
    <col min="10" max="10" width="12.84375" style="54" customWidth="1"/>
    <col min="11" max="12" width="8.84375" style="54"/>
    <col min="13" max="13" width="24.4609375" style="54" customWidth="1"/>
    <col min="14" max="16384" width="8.84375" style="54"/>
  </cols>
  <sheetData>
    <row r="1" spans="1:9" hidden="1" x14ac:dyDescent="0.35"/>
    <row r="2" spans="1:9" hidden="1" x14ac:dyDescent="0.35"/>
    <row r="3" spans="1:9" ht="18" x14ac:dyDescent="0.4">
      <c r="A3" s="6" t="s">
        <v>223</v>
      </c>
      <c r="B3" s="53"/>
      <c r="C3" s="53"/>
      <c r="D3" s="53"/>
      <c r="E3" s="53"/>
      <c r="F3" s="53"/>
      <c r="G3" s="4"/>
      <c r="H3" s="4"/>
      <c r="I3" s="4"/>
    </row>
    <row r="4" spans="1:9" ht="18.5" thickBot="1" x14ac:dyDescent="0.45">
      <c r="A4" s="6"/>
      <c r="B4" s="53"/>
      <c r="C4" s="53"/>
      <c r="D4" s="53"/>
      <c r="E4" s="53"/>
      <c r="F4" s="53"/>
      <c r="G4" s="4"/>
      <c r="H4" s="4"/>
      <c r="I4" s="4"/>
    </row>
    <row r="5" spans="1:9" s="55" customFormat="1" ht="24" customHeight="1" x14ac:dyDescent="0.35">
      <c r="A5" s="43"/>
      <c r="B5" s="7">
        <v>1</v>
      </c>
      <c r="C5" s="7">
        <f>B5+1</f>
        <v>2</v>
      </c>
      <c r="D5" s="7">
        <f t="shared" ref="D5:I5" si="0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51">
        <f t="shared" si="0"/>
        <v>8</v>
      </c>
    </row>
    <row r="6" spans="1:9" s="148" customFormat="1" ht="106.5" customHeight="1" thickBot="1" x14ac:dyDescent="0.4">
      <c r="A6" s="147"/>
      <c r="B6" s="93" t="s">
        <v>224</v>
      </c>
      <c r="C6" s="93" t="s">
        <v>225</v>
      </c>
      <c r="D6" s="93" t="s">
        <v>226</v>
      </c>
      <c r="E6" s="93" t="s">
        <v>227</v>
      </c>
      <c r="F6" s="93" t="s">
        <v>228</v>
      </c>
      <c r="G6" s="94" t="s">
        <v>229</v>
      </c>
      <c r="H6" s="95" t="s">
        <v>230</v>
      </c>
      <c r="I6" s="96" t="s">
        <v>231</v>
      </c>
    </row>
    <row r="7" spans="1:9" x14ac:dyDescent="0.35">
      <c r="A7" s="52"/>
      <c r="B7" s="128" t="s">
        <v>15</v>
      </c>
      <c r="C7" s="128" t="s">
        <v>15</v>
      </c>
      <c r="D7" s="128" t="s">
        <v>15</v>
      </c>
      <c r="E7" s="128" t="s">
        <v>15</v>
      </c>
      <c r="F7" s="128" t="s">
        <v>15</v>
      </c>
      <c r="G7" s="128" t="s">
        <v>15</v>
      </c>
      <c r="H7" s="128" t="s">
        <v>15</v>
      </c>
      <c r="I7" s="137" t="s">
        <v>15</v>
      </c>
    </row>
    <row r="8" spans="1:9" x14ac:dyDescent="0.35">
      <c r="A8" s="124"/>
      <c r="B8" s="125"/>
      <c r="C8" s="125"/>
      <c r="D8" s="125"/>
      <c r="E8" s="125"/>
      <c r="F8" s="125"/>
      <c r="G8" s="126"/>
      <c r="H8" s="126"/>
      <c r="I8" s="127"/>
    </row>
    <row r="9" spans="1:9" ht="18.75" customHeight="1" x14ac:dyDescent="0.35">
      <c r="A9" s="2" t="s">
        <v>20</v>
      </c>
      <c r="B9" s="64">
        <f>'A1'!E7</f>
        <v>1003.7752604999999</v>
      </c>
      <c r="C9" s="64">
        <f>'B1'!Q8</f>
        <v>233.24680629958434</v>
      </c>
      <c r="D9" s="64">
        <f>'B2'!AN8</f>
        <v>16.968594999999997</v>
      </c>
      <c r="E9" s="64">
        <f>B9+C9+D9</f>
        <v>1253.9906617995844</v>
      </c>
      <c r="F9" s="64">
        <f>'C'!B9</f>
        <v>102.02609108</v>
      </c>
      <c r="G9" s="110">
        <f>E!E7</f>
        <v>32.831000000000003</v>
      </c>
      <c r="H9" s="110">
        <f>F!F7</f>
        <v>30.941056</v>
      </c>
      <c r="I9" s="68">
        <f>E9+F9+G9+H9</f>
        <v>1419.7888088795842</v>
      </c>
    </row>
    <row r="10" spans="1:9" x14ac:dyDescent="0.35">
      <c r="A10" s="2"/>
      <c r="B10" s="64"/>
      <c r="C10" s="64"/>
      <c r="D10" s="64"/>
      <c r="E10" s="64"/>
      <c r="F10" s="64"/>
      <c r="G10" s="110"/>
      <c r="H10" s="110"/>
      <c r="I10" s="68"/>
    </row>
    <row r="11" spans="1:9" ht="17.25" customHeight="1" x14ac:dyDescent="0.35">
      <c r="A11" s="2" t="s">
        <v>29</v>
      </c>
      <c r="B11" s="64">
        <f>'A1'!E9</f>
        <v>1168.3603905</v>
      </c>
      <c r="C11" s="64">
        <f>'B1'!Q10</f>
        <v>382.92943033425212</v>
      </c>
      <c r="D11" s="64">
        <f>'B2'!AN10</f>
        <v>3.1608419999999997</v>
      </c>
      <c r="E11" s="64">
        <f>B11+C11+D11</f>
        <v>1554.4506628342522</v>
      </c>
      <c r="F11" s="64">
        <f>'C'!B11</f>
        <v>133.83191312</v>
      </c>
      <c r="G11" s="110">
        <f>E!E9</f>
        <v>35.116</v>
      </c>
      <c r="H11" s="110">
        <f>F!F9</f>
        <v>29.786699999999996</v>
      </c>
      <c r="I11" s="68">
        <f>E11+F11+G11+H11</f>
        <v>1753.1852759542521</v>
      </c>
    </row>
    <row r="12" spans="1:9" x14ac:dyDescent="0.35">
      <c r="A12" s="1"/>
      <c r="B12" s="35"/>
      <c r="C12" s="35"/>
      <c r="D12" s="35"/>
      <c r="E12" s="35"/>
      <c r="F12" s="35"/>
      <c r="G12" s="34"/>
      <c r="H12" s="34"/>
      <c r="I12" s="45"/>
    </row>
    <row r="13" spans="1:9" ht="18.75" customHeight="1" x14ac:dyDescent="0.35">
      <c r="A13" s="2" t="s">
        <v>21</v>
      </c>
      <c r="B13" s="64">
        <f>'A1'!E11</f>
        <v>717.26259249999998</v>
      </c>
      <c r="C13" s="64">
        <f>'B1'!Q12</f>
        <v>190.44261055583627</v>
      </c>
      <c r="D13" s="64">
        <f>'B2'!AN12</f>
        <v>20.684712999999999</v>
      </c>
      <c r="E13" s="64">
        <f>B13+C13+D13</f>
        <v>928.38991605583624</v>
      </c>
      <c r="F13" s="64">
        <f>'C'!B13</f>
        <v>75.531960919999975</v>
      </c>
      <c r="G13" s="110">
        <f>E!E11</f>
        <v>23.303000000000001</v>
      </c>
      <c r="H13" s="110">
        <f>F!F11</f>
        <v>27.605</v>
      </c>
      <c r="I13" s="68">
        <f>E13+F13+G13+H13</f>
        <v>1054.8298769758362</v>
      </c>
    </row>
    <row r="14" spans="1:9" x14ac:dyDescent="0.35">
      <c r="A14" s="2"/>
      <c r="B14" s="64"/>
      <c r="C14" s="64"/>
      <c r="D14" s="64"/>
      <c r="E14" s="64"/>
      <c r="F14" s="64"/>
      <c r="G14" s="110"/>
      <c r="H14" s="110"/>
      <c r="I14" s="68"/>
    </row>
    <row r="15" spans="1:9" s="33" customFormat="1" ht="17.25" customHeight="1" x14ac:dyDescent="0.35">
      <c r="A15" s="2" t="s">
        <v>185</v>
      </c>
      <c r="B15" s="64">
        <f>'A1'!E13</f>
        <v>798.93307728669504</v>
      </c>
      <c r="C15" s="64">
        <f>'B1'!Q14</f>
        <v>198.86892360458805</v>
      </c>
      <c r="D15" s="64">
        <f>'B2'!AN14</f>
        <v>2.5741920270798939</v>
      </c>
      <c r="E15" s="64">
        <f>B15+C15+D15</f>
        <v>1000.376192918363</v>
      </c>
      <c r="F15" s="64">
        <f>'C'!B15</f>
        <v>78.842173970520818</v>
      </c>
      <c r="G15" s="110">
        <f>E!E13</f>
        <v>28.052162706900003</v>
      </c>
      <c r="H15" s="110">
        <f>F!F13</f>
        <v>22.228640244454393</v>
      </c>
      <c r="I15" s="68">
        <f>E15+F15+G15+H15</f>
        <v>1129.4991698402382</v>
      </c>
    </row>
    <row r="16" spans="1:9" s="33" customFormat="1" x14ac:dyDescent="0.35">
      <c r="A16" s="2"/>
      <c r="B16" s="64"/>
      <c r="C16" s="64"/>
      <c r="D16" s="64"/>
      <c r="E16" s="64"/>
      <c r="F16" s="64"/>
      <c r="G16" s="110"/>
      <c r="H16" s="110"/>
      <c r="I16" s="68"/>
    </row>
    <row r="17" spans="1:9" ht="17.25" customHeight="1" x14ac:dyDescent="0.35">
      <c r="A17" s="2" t="s">
        <v>23</v>
      </c>
      <c r="B17" s="64">
        <f>'A1'!E15</f>
        <v>670.91875699999991</v>
      </c>
      <c r="C17" s="64">
        <f>'B1'!Q16</f>
        <v>168.75114422237627</v>
      </c>
      <c r="D17" s="64">
        <f>'B2'!AN16</f>
        <v>1.526716</v>
      </c>
      <c r="E17" s="64">
        <f>B17+C17+D17</f>
        <v>841.19661722237618</v>
      </c>
      <c r="F17" s="64">
        <f>'C'!B17</f>
        <v>73.081338520000031</v>
      </c>
      <c r="G17" s="110">
        <f>E!E15</f>
        <v>21.869000000000003</v>
      </c>
      <c r="H17" s="110">
        <f>F!F15</f>
        <v>18.7346</v>
      </c>
      <c r="I17" s="68">
        <f>E17+F17+G17+H17</f>
        <v>954.88155574237624</v>
      </c>
    </row>
    <row r="18" spans="1:9" x14ac:dyDescent="0.35">
      <c r="A18" s="1"/>
      <c r="B18" s="35"/>
      <c r="C18" s="35"/>
      <c r="D18" s="35"/>
      <c r="E18" s="35"/>
      <c r="F18" s="35"/>
      <c r="G18" s="34"/>
      <c r="H18" s="34"/>
      <c r="I18" s="45"/>
    </row>
    <row r="19" spans="1:9" s="33" customFormat="1" ht="18.75" customHeight="1" x14ac:dyDescent="0.35">
      <c r="A19" s="2" t="s">
        <v>22</v>
      </c>
      <c r="B19" s="64">
        <f>'A1'!E17</f>
        <v>233.43090899999999</v>
      </c>
      <c r="C19" s="64">
        <f>'B1'!Q18</f>
        <v>61.454198082923369</v>
      </c>
      <c r="D19" s="64">
        <f>'B2'!AN18</f>
        <v>4.4959005000000003</v>
      </c>
      <c r="E19" s="64">
        <f>B19+C19+D19</f>
        <v>299.38100758292336</v>
      </c>
      <c r="F19" s="64">
        <f>'C'!B19</f>
        <v>34.100808999999998</v>
      </c>
      <c r="G19" s="110">
        <f>E!E17</f>
        <v>5.0460000000000003</v>
      </c>
      <c r="H19" s="110">
        <f>F!F17</f>
        <v>6.7445000000000013</v>
      </c>
      <c r="I19" s="68">
        <f>E19+F19+G19+H19</f>
        <v>345.27231658292334</v>
      </c>
    </row>
    <row r="20" spans="1:9" s="33" customFormat="1" ht="18.75" customHeight="1" x14ac:dyDescent="0.35">
      <c r="A20" s="2"/>
      <c r="B20" s="64"/>
      <c r="C20" s="64"/>
      <c r="D20" s="64"/>
      <c r="E20" s="64"/>
      <c r="F20" s="64"/>
      <c r="G20" s="110"/>
      <c r="H20" s="110"/>
      <c r="I20" s="68"/>
    </row>
    <row r="21" spans="1:9" ht="18.75" customHeight="1" x14ac:dyDescent="0.35">
      <c r="A21" s="2" t="s">
        <v>186</v>
      </c>
      <c r="B21" s="64">
        <f>'A1'!E19</f>
        <v>646.90583471330501</v>
      </c>
      <c r="C21" s="64">
        <f>'B1'!Q20</f>
        <v>195.86613122664747</v>
      </c>
      <c r="D21" s="64">
        <f>'B2'!AN20</f>
        <v>9.7543909729201062</v>
      </c>
      <c r="E21" s="64">
        <f>B21+C21+D21</f>
        <v>852.52635691287253</v>
      </c>
      <c r="F21" s="64">
        <f>'C'!B21</f>
        <v>65.068777869479192</v>
      </c>
      <c r="G21" s="110">
        <f>E!E19</f>
        <v>21.866837293100005</v>
      </c>
      <c r="H21" s="110">
        <f>F!F19</f>
        <v>22.497351755545616</v>
      </c>
      <c r="I21" s="68">
        <f>E21+F21+G21+H21</f>
        <v>961.95932383099739</v>
      </c>
    </row>
    <row r="22" spans="1:9" ht="16" thickBot="1" x14ac:dyDescent="0.4">
      <c r="A22" s="2"/>
      <c r="B22" s="39"/>
      <c r="C22" s="39"/>
      <c r="D22" s="39"/>
      <c r="E22" s="35"/>
      <c r="F22" s="35"/>
      <c r="G22" s="75"/>
      <c r="H22" s="75"/>
      <c r="I22" s="40"/>
    </row>
    <row r="23" spans="1:9" s="33" customFormat="1" ht="27" customHeight="1" thickBot="1" x14ac:dyDescent="0.4">
      <c r="A23" s="37" t="s">
        <v>0</v>
      </c>
      <c r="B23" s="66">
        <f t="shared" ref="B23:I23" si="1">B21+B9+B11+B13+B15+B17+B19</f>
        <v>5239.5868215</v>
      </c>
      <c r="C23" s="66">
        <f t="shared" si="1"/>
        <v>1431.5592443262078</v>
      </c>
      <c r="D23" s="66">
        <f t="shared" si="1"/>
        <v>59.165349499999998</v>
      </c>
      <c r="E23" s="66">
        <f t="shared" si="1"/>
        <v>6730.3114153262086</v>
      </c>
      <c r="F23" s="66">
        <f t="shared" si="1"/>
        <v>562.48306447999994</v>
      </c>
      <c r="G23" s="66">
        <f t="shared" si="1"/>
        <v>168.084</v>
      </c>
      <c r="H23" s="66">
        <f t="shared" si="1"/>
        <v>158.537848</v>
      </c>
      <c r="I23" s="66">
        <f t="shared" si="1"/>
        <v>7619.4163278062078</v>
      </c>
    </row>
    <row r="26" spans="1:9" x14ac:dyDescent="0.35">
      <c r="B26" s="59"/>
    </row>
  </sheetData>
  <phoneticPr fontId="12" type="noConversion"/>
  <printOptions horizontalCentered="1"/>
  <pageMargins left="0.78740157480314965" right="0.74803149606299213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A1:F23"/>
  <sheetViews>
    <sheetView showGridLines="0" zoomScale="70" zoomScaleNormal="60" workbookViewId="0">
      <selection activeCell="C35" sqref="C35"/>
    </sheetView>
  </sheetViews>
  <sheetFormatPr defaultColWidth="8.84375" defaultRowHeight="15.5" x14ac:dyDescent="0.35"/>
  <cols>
    <col min="1" max="1" width="39.765625" style="18" customWidth="1"/>
    <col min="2" max="2" width="20.84375" style="18" customWidth="1"/>
    <col min="3" max="3" width="16.53515625" style="18" customWidth="1"/>
    <col min="4" max="4" width="18" style="18" customWidth="1"/>
    <col min="5" max="5" width="19" style="122" customWidth="1"/>
    <col min="6" max="6" width="10.07421875" style="18" customWidth="1"/>
    <col min="7" max="16384" width="8.84375" style="18"/>
  </cols>
  <sheetData>
    <row r="1" spans="1:6" s="11" customFormat="1" ht="27.75" customHeight="1" x14ac:dyDescent="0.35">
      <c r="A1" s="12" t="s">
        <v>232</v>
      </c>
      <c r="B1" s="10"/>
      <c r="C1" s="10"/>
      <c r="D1" s="10"/>
      <c r="E1" s="119"/>
    </row>
    <row r="2" spans="1:6" s="11" customFormat="1" ht="13.5" customHeight="1" thickBot="1" x14ac:dyDescent="0.4">
      <c r="A2" s="12"/>
      <c r="B2" s="10"/>
      <c r="C2" s="10"/>
      <c r="D2" s="10"/>
      <c r="E2" s="120"/>
    </row>
    <row r="3" spans="1:6" s="14" customFormat="1" x14ac:dyDescent="0.35">
      <c r="A3" s="13"/>
      <c r="B3" s="56">
        <v>1</v>
      </c>
      <c r="C3" s="56">
        <f>B3+1</f>
        <v>2</v>
      </c>
      <c r="D3" s="56">
        <f>C3+1</f>
        <v>3</v>
      </c>
      <c r="E3" s="259">
        <f>D3+1</f>
        <v>4</v>
      </c>
    </row>
    <row r="4" spans="1:6" s="15" customFormat="1" ht="129" customHeight="1" thickBot="1" x14ac:dyDescent="0.4">
      <c r="A4" s="49"/>
      <c r="B4" s="263" t="s">
        <v>200</v>
      </c>
      <c r="C4" s="94" t="s">
        <v>216</v>
      </c>
      <c r="D4" s="223" t="s">
        <v>217</v>
      </c>
      <c r="E4" s="139" t="s">
        <v>224</v>
      </c>
    </row>
    <row r="5" spans="1:6" s="16" customFormat="1" ht="15" customHeight="1" x14ac:dyDescent="0.35">
      <c r="A5" s="50" t="s">
        <v>7</v>
      </c>
      <c r="B5" s="128" t="s">
        <v>15</v>
      </c>
      <c r="C5" s="128" t="s">
        <v>15</v>
      </c>
      <c r="D5" s="128" t="s">
        <v>15</v>
      </c>
      <c r="E5" s="137" t="s">
        <v>15</v>
      </c>
    </row>
    <row r="6" spans="1:6" s="16" customFormat="1" ht="15" customHeight="1" x14ac:dyDescent="0.35">
      <c r="A6" s="71"/>
      <c r="B6" s="73"/>
      <c r="C6" s="74"/>
      <c r="D6" s="224"/>
      <c r="E6" s="140"/>
    </row>
    <row r="7" spans="1:6" x14ac:dyDescent="0.35">
      <c r="A7" s="145" t="s">
        <v>20</v>
      </c>
      <c r="B7" s="64">
        <v>961.60179049999999</v>
      </c>
      <c r="C7" s="64">
        <f>+'A2'!J7</f>
        <v>-5.3166000000000171E-2</v>
      </c>
      <c r="D7" s="110">
        <f>'A3'!D7</f>
        <v>42.226635999999999</v>
      </c>
      <c r="E7" s="142">
        <f>+B7+C7+D7</f>
        <v>1003.7752604999999</v>
      </c>
      <c r="F7" s="17"/>
    </row>
    <row r="8" spans="1:6" x14ac:dyDescent="0.35">
      <c r="A8" s="146"/>
      <c r="B8" s="64"/>
      <c r="C8" s="64"/>
      <c r="D8" s="110"/>
      <c r="E8" s="141"/>
      <c r="F8" s="17"/>
    </row>
    <row r="9" spans="1:6" x14ac:dyDescent="0.35">
      <c r="A9" s="2" t="s">
        <v>29</v>
      </c>
      <c r="B9" s="64">
        <v>1117.2505185</v>
      </c>
      <c r="C9" s="64">
        <f>+'A2'!J9</f>
        <v>-6.2748000000000415E-2</v>
      </c>
      <c r="D9" s="110">
        <f>'A3'!D9</f>
        <v>51.172619999999995</v>
      </c>
      <c r="E9" s="142">
        <f>+B9+C9+D9</f>
        <v>1168.3603905</v>
      </c>
      <c r="F9" s="17"/>
    </row>
    <row r="10" spans="1:6" x14ac:dyDescent="0.35">
      <c r="A10" s="146"/>
      <c r="B10" s="64"/>
      <c r="C10" s="64"/>
      <c r="D10" s="110"/>
      <c r="E10" s="141"/>
      <c r="F10" s="17"/>
    </row>
    <row r="11" spans="1:6" x14ac:dyDescent="0.35">
      <c r="A11" s="2" t="s">
        <v>21</v>
      </c>
      <c r="B11" s="64">
        <v>685.30298949999997</v>
      </c>
      <c r="C11" s="64">
        <f>+'A2'!J11</f>
        <v>0.12219199999999975</v>
      </c>
      <c r="D11" s="110">
        <f>'A3'!D11</f>
        <v>31.837410999999999</v>
      </c>
      <c r="E11" s="142">
        <f>+B11+C11+D11</f>
        <v>717.26259249999998</v>
      </c>
      <c r="F11" s="17"/>
    </row>
    <row r="12" spans="1:6" x14ac:dyDescent="0.35">
      <c r="A12" s="2"/>
      <c r="B12" s="64"/>
      <c r="C12" s="64"/>
      <c r="D12" s="110"/>
      <c r="E12" s="141"/>
      <c r="F12" s="17"/>
    </row>
    <row r="13" spans="1:6" s="20" customFormat="1" x14ac:dyDescent="0.35">
      <c r="A13" s="2" t="s">
        <v>185</v>
      </c>
      <c r="B13" s="64">
        <v>763.82390028669499</v>
      </c>
      <c r="C13" s="64">
        <f>+'A2'!J13</f>
        <v>-4.7109000000000144E-2</v>
      </c>
      <c r="D13" s="110">
        <f>'A3'!D13</f>
        <v>35.156286000000001</v>
      </c>
      <c r="E13" s="142">
        <f>+B13+C13+D13</f>
        <v>798.93307728669504</v>
      </c>
      <c r="F13" s="19"/>
    </row>
    <row r="14" spans="1:6" x14ac:dyDescent="0.35">
      <c r="A14" s="1"/>
      <c r="B14" s="26"/>
      <c r="C14" s="26"/>
      <c r="D14" s="182"/>
      <c r="E14" s="141"/>
      <c r="F14" s="17"/>
    </row>
    <row r="15" spans="1:6" s="20" customFormat="1" x14ac:dyDescent="0.35">
      <c r="A15" s="2" t="s">
        <v>23</v>
      </c>
      <c r="B15" s="64">
        <v>641.56585999999993</v>
      </c>
      <c r="C15" s="64">
        <f>+'A2'!J15</f>
        <v>-3.8391999999999898E-2</v>
      </c>
      <c r="D15" s="110">
        <f>'A3'!D15</f>
        <v>29.391289</v>
      </c>
      <c r="E15" s="142">
        <f>+B15+C15+D15</f>
        <v>670.91875699999991</v>
      </c>
      <c r="F15" s="19"/>
    </row>
    <row r="16" spans="1:6" s="20" customFormat="1" x14ac:dyDescent="0.35">
      <c r="A16" s="2"/>
      <c r="B16" s="64"/>
      <c r="C16" s="64"/>
      <c r="D16" s="110"/>
      <c r="E16" s="143"/>
      <c r="F16" s="19"/>
    </row>
    <row r="17" spans="1:6" x14ac:dyDescent="0.35">
      <c r="A17" s="2" t="s">
        <v>22</v>
      </c>
      <c r="B17" s="26">
        <v>224.58813099999998</v>
      </c>
      <c r="C17" s="26">
        <f>+'A2'!J17</f>
        <v>8.5583000000000173E-2</v>
      </c>
      <c r="D17" s="110">
        <f>'A3'!D17</f>
        <v>8.7571949999999994</v>
      </c>
      <c r="E17" s="142">
        <f>+B17+C17+D17</f>
        <v>233.43090899999999</v>
      </c>
      <c r="F17" s="17"/>
    </row>
    <row r="18" spans="1:6" x14ac:dyDescent="0.35">
      <c r="A18" s="2"/>
      <c r="B18" s="26"/>
      <c r="C18" s="26"/>
      <c r="D18" s="163"/>
      <c r="E18" s="366"/>
      <c r="F18" s="17"/>
    </row>
    <row r="19" spans="1:6" x14ac:dyDescent="0.35">
      <c r="A19" s="2" t="s">
        <v>186</v>
      </c>
      <c r="B19" s="64">
        <v>616.92405871330504</v>
      </c>
      <c r="C19" s="64">
        <f>+'A2'!J19</f>
        <v>-0.2503189999999999</v>
      </c>
      <c r="D19" s="110">
        <f>'A3'!D19</f>
        <v>30.232095000000001</v>
      </c>
      <c r="E19" s="142">
        <f>+B19+C19+D19</f>
        <v>646.90583471330501</v>
      </c>
      <c r="F19" s="17"/>
    </row>
    <row r="20" spans="1:6" s="20" customFormat="1" ht="16" thickBot="1" x14ac:dyDescent="0.4">
      <c r="A20" s="2"/>
      <c r="B20" s="65"/>
      <c r="C20" s="65"/>
      <c r="D20" s="225"/>
      <c r="E20" s="144"/>
      <c r="F20" s="19"/>
    </row>
    <row r="21" spans="1:6" s="20" customFormat="1" ht="16" thickBot="1" x14ac:dyDescent="0.4">
      <c r="A21" s="21" t="s">
        <v>0</v>
      </c>
      <c r="B21" s="60">
        <f>+B9+B19+B15+B17+B13+B11+B7</f>
        <v>5011.0572485000002</v>
      </c>
      <c r="C21" s="60">
        <f>+C9+C19+C15+C17+C13+C11+C7</f>
        <v>-0.24395900000000054</v>
      </c>
      <c r="D21" s="60">
        <f>+D9+D19+D15+D17+D13+D11+D7</f>
        <v>228.77353199999999</v>
      </c>
      <c r="E21" s="294">
        <f>+E9+E19+E15+E17+E13+E11+E7</f>
        <v>5239.5868215</v>
      </c>
      <c r="F21" s="19"/>
    </row>
    <row r="22" spans="1:6" x14ac:dyDescent="0.35">
      <c r="A22" s="22"/>
      <c r="B22" s="23"/>
      <c r="C22" s="24"/>
      <c r="D22" s="24"/>
      <c r="E22" s="121"/>
    </row>
    <row r="23" spans="1:6" x14ac:dyDescent="0.35">
      <c r="B23" s="282"/>
      <c r="E23" s="162"/>
    </row>
  </sheetData>
  <customSheetViews>
    <customSheetView guid="{92B97691-A213-481E-9B20-3BF43CB76868}" scale="60" showPageBreaks="1" showGridLines="0" fitToPage="1" showRuler="0">
      <selection activeCell="D34" sqref="D34"/>
      <pageMargins left="0.74803149606299213" right="0.74803149606299213" top="0.98425196850393704" bottom="0.98425196850393704" header="0.51181102362204722" footer="0.51181102362204722"/>
      <pageSetup paperSize="9" scale="64" orientation="landscape" horizontalDpi="0" r:id="rId1"/>
      <headerFooter alignWithMargins="0">
        <oddHeader>&amp;CDRAFT - Final Changes</oddHeader>
        <oddFooter>&amp;L&amp;F&amp;R&amp;D &amp;T</oddFooter>
      </headerFooter>
    </customSheetView>
  </customSheetViews>
  <phoneticPr fontId="12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L26"/>
  <sheetViews>
    <sheetView zoomScale="70" zoomScaleNormal="70" workbookViewId="0">
      <pane xSplit="1" ySplit="6" topLeftCell="B7" activePane="bottomRight" state="frozen"/>
      <selection activeCell="M5" sqref="M5"/>
      <selection pane="topRight" activeCell="M5" sqref="M5"/>
      <selection pane="bottomLeft" activeCell="M5" sqref="M5"/>
      <selection pane="bottomRight" activeCell="F25" sqref="F25"/>
    </sheetView>
  </sheetViews>
  <sheetFormatPr defaultColWidth="8.84375" defaultRowHeight="15.5" x14ac:dyDescent="0.35"/>
  <cols>
    <col min="1" max="1" width="38.765625" style="29" customWidth="1"/>
    <col min="2" max="2" width="13.07421875" style="29" customWidth="1"/>
    <col min="3" max="6" width="14.69140625" style="29" customWidth="1"/>
    <col min="7" max="7" width="12.23046875" style="29" customWidth="1"/>
    <col min="8" max="9" width="15.765625" style="29" customWidth="1"/>
    <col min="10" max="11" width="12.765625" style="29" customWidth="1"/>
    <col min="12" max="12" width="18" style="29" bestFit="1" customWidth="1"/>
    <col min="13" max="16384" width="8.84375" style="29"/>
  </cols>
  <sheetData>
    <row r="1" spans="1:11" s="8" customFormat="1" x14ac:dyDescent="0.35">
      <c r="A1" s="5" t="s">
        <v>233</v>
      </c>
      <c r="B1" s="5"/>
      <c r="C1" s="5"/>
      <c r="D1" s="5"/>
      <c r="E1" s="5"/>
      <c r="F1" s="5"/>
      <c r="G1" s="5"/>
      <c r="H1" s="5"/>
      <c r="I1" s="5"/>
      <c r="J1" s="5"/>
      <c r="K1" s="27"/>
    </row>
    <row r="2" spans="1:11" s="8" customFormat="1" ht="16" thickBot="1" x14ac:dyDescent="0.4">
      <c r="K2" s="27"/>
    </row>
    <row r="3" spans="1:11" s="28" customFormat="1" ht="16.5" customHeight="1" x14ac:dyDescent="0.35">
      <c r="A3" s="58"/>
      <c r="B3" s="375">
        <v>1</v>
      </c>
      <c r="C3" s="375">
        <f>B3+1</f>
        <v>2</v>
      </c>
      <c r="D3" s="375">
        <f t="shared" ref="D3" si="0">C3+1</f>
        <v>3</v>
      </c>
      <c r="E3" s="375">
        <f t="shared" ref="E3" si="1">D3+1</f>
        <v>4</v>
      </c>
      <c r="F3" s="375">
        <f t="shared" ref="F3" si="2">E3+1</f>
        <v>5</v>
      </c>
      <c r="G3" s="375">
        <f t="shared" ref="G3" si="3">F3+1</f>
        <v>6</v>
      </c>
      <c r="H3" s="375">
        <f t="shared" ref="H3" si="4">G3+1</f>
        <v>7</v>
      </c>
      <c r="I3" s="375">
        <f t="shared" ref="I3" si="5">H3+1</f>
        <v>8</v>
      </c>
      <c r="J3" s="375">
        <f t="shared" ref="J3" si="6">I3+1</f>
        <v>9</v>
      </c>
    </row>
    <row r="4" spans="1:11" ht="85.5" customHeight="1" thickBot="1" x14ac:dyDescent="0.4">
      <c r="A4" s="49"/>
      <c r="B4" s="165" t="s">
        <v>314</v>
      </c>
      <c r="C4" s="165" t="s">
        <v>272</v>
      </c>
      <c r="D4" s="165" t="s">
        <v>271</v>
      </c>
      <c r="E4" s="165" t="s">
        <v>320</v>
      </c>
      <c r="F4" s="165" t="s">
        <v>322</v>
      </c>
      <c r="G4" s="165" t="s">
        <v>194</v>
      </c>
      <c r="H4" s="165" t="s">
        <v>167</v>
      </c>
      <c r="I4" s="165" t="s">
        <v>212</v>
      </c>
      <c r="J4" s="166" t="s">
        <v>13</v>
      </c>
    </row>
    <row r="5" spans="1:11" s="30" customFormat="1" ht="18.75" customHeight="1" x14ac:dyDescent="0.35">
      <c r="A5" s="61" t="s">
        <v>7</v>
      </c>
      <c r="B5" s="70" t="s">
        <v>15</v>
      </c>
      <c r="C5" s="70" t="s">
        <v>15</v>
      </c>
      <c r="D5" s="70" t="s">
        <v>15</v>
      </c>
      <c r="E5" s="70" t="s">
        <v>15</v>
      </c>
      <c r="F5" s="70" t="s">
        <v>15</v>
      </c>
      <c r="G5" s="70" t="s">
        <v>15</v>
      </c>
      <c r="H5" s="70" t="s">
        <v>15</v>
      </c>
      <c r="I5" s="70" t="s">
        <v>15</v>
      </c>
      <c r="J5" s="129" t="s">
        <v>15</v>
      </c>
    </row>
    <row r="6" spans="1:11" s="33" customFormat="1" x14ac:dyDescent="0.35">
      <c r="A6" s="31"/>
      <c r="B6" s="117"/>
      <c r="C6" s="117"/>
      <c r="D6" s="117"/>
      <c r="E6" s="117"/>
      <c r="F6" s="117"/>
      <c r="G6" s="117"/>
      <c r="H6" s="117"/>
      <c r="I6" s="117"/>
      <c r="J6" s="98"/>
    </row>
    <row r="7" spans="1:11" s="33" customFormat="1" x14ac:dyDescent="0.35">
      <c r="A7" s="2" t="s">
        <v>20</v>
      </c>
      <c r="B7" s="167"/>
      <c r="C7" s="167">
        <v>0.13125000000000001</v>
      </c>
      <c r="D7" s="167">
        <v>1.2999999999999999E-2</v>
      </c>
      <c r="E7" s="167">
        <v>3.9322999999999997E-2</v>
      </c>
      <c r="F7" s="167">
        <v>0.13400000000000001</v>
      </c>
      <c r="G7" s="167">
        <f>'Table 3'!CL8</f>
        <v>-2.1739000000000175E-2</v>
      </c>
      <c r="H7" s="167">
        <v>-0.29899999999999999</v>
      </c>
      <c r="I7" s="167">
        <v>-0.05</v>
      </c>
      <c r="J7" s="32">
        <f>SUM(B7:I7)</f>
        <v>-5.3166000000000171E-2</v>
      </c>
    </row>
    <row r="8" spans="1:11" s="33" customFormat="1" x14ac:dyDescent="0.35">
      <c r="A8" s="2"/>
      <c r="B8" s="168"/>
      <c r="C8" s="168"/>
      <c r="D8" s="168"/>
      <c r="E8" s="168"/>
      <c r="F8" s="168"/>
      <c r="G8" s="168"/>
      <c r="H8" s="168"/>
      <c r="I8" s="168"/>
      <c r="J8" s="32"/>
    </row>
    <row r="9" spans="1:11" x14ac:dyDescent="0.35">
      <c r="A9" s="2" t="s">
        <v>29</v>
      </c>
      <c r="B9" s="167"/>
      <c r="C9" s="167">
        <v>0.15603</v>
      </c>
      <c r="D9" s="167">
        <v>1.2999999999999999E-2</v>
      </c>
      <c r="E9" s="167">
        <v>5.2999999999999999E-2</v>
      </c>
      <c r="F9" s="167">
        <v>0.156</v>
      </c>
      <c r="G9" s="167">
        <f>'Table 3'!CL10</f>
        <v>-3.2778000000000418E-2</v>
      </c>
      <c r="H9" s="167">
        <v>-0.34899999999999998</v>
      </c>
      <c r="I9" s="167">
        <v>-5.8999999999999997E-2</v>
      </c>
      <c r="J9" s="32">
        <f>SUM(B9:I9)</f>
        <v>-6.2748000000000415E-2</v>
      </c>
    </row>
    <row r="10" spans="1:11" x14ac:dyDescent="0.35">
      <c r="A10" s="1"/>
      <c r="B10" s="170"/>
      <c r="C10" s="170"/>
      <c r="D10" s="170"/>
      <c r="E10" s="170"/>
      <c r="F10" s="170"/>
      <c r="G10" s="170"/>
      <c r="H10" s="170"/>
      <c r="I10" s="170"/>
      <c r="J10" s="36"/>
    </row>
    <row r="11" spans="1:11" x14ac:dyDescent="0.35">
      <c r="A11" s="2" t="s">
        <v>21</v>
      </c>
      <c r="B11" s="168">
        <v>0.21199999999999999</v>
      </c>
      <c r="C11" s="168">
        <v>0.11081000000000001</v>
      </c>
      <c r="D11" s="167">
        <v>1.2999999999999999E-2</v>
      </c>
      <c r="E11" s="168">
        <v>6.2403E-2</v>
      </c>
      <c r="F11" s="168">
        <v>9.2999999999999999E-2</v>
      </c>
      <c r="G11" s="168">
        <f>'Table 3'!CL12</f>
        <v>-0.12502100000000027</v>
      </c>
      <c r="H11" s="168">
        <v>-0.20899999999999999</v>
      </c>
      <c r="I11" s="168">
        <v>-3.5000000000000003E-2</v>
      </c>
      <c r="J11" s="32">
        <f>SUM(B11:I11)</f>
        <v>0.12219199999999975</v>
      </c>
    </row>
    <row r="12" spans="1:11" x14ac:dyDescent="0.35">
      <c r="A12" s="2"/>
      <c r="B12" s="168"/>
      <c r="C12" s="168"/>
      <c r="D12" s="168"/>
      <c r="E12" s="168"/>
      <c r="F12" s="168"/>
      <c r="G12" s="168"/>
      <c r="H12" s="168"/>
      <c r="I12" s="168"/>
      <c r="J12" s="32"/>
    </row>
    <row r="13" spans="1:11" s="33" customFormat="1" x14ac:dyDescent="0.35">
      <c r="A13" s="2" t="s">
        <v>185</v>
      </c>
      <c r="B13" s="167"/>
      <c r="C13" s="167">
        <v>9.9470000000000003E-2</v>
      </c>
      <c r="D13" s="167">
        <v>1.2999999999999999E-2</v>
      </c>
      <c r="E13" s="167">
        <v>3.8468000000000002E-2</v>
      </c>
      <c r="F13" s="167">
        <v>0.106</v>
      </c>
      <c r="G13" s="167">
        <f>'Table 3'!CL14</f>
        <v>-2.6047000000000153E-2</v>
      </c>
      <c r="H13" s="167">
        <v>-0.23799999999999999</v>
      </c>
      <c r="I13" s="167">
        <v>-0.04</v>
      </c>
      <c r="J13" s="32">
        <f>SUM(B13:I13)</f>
        <v>-4.7109000000000144E-2</v>
      </c>
    </row>
    <row r="14" spans="1:11" s="33" customFormat="1" x14ac:dyDescent="0.35">
      <c r="A14" s="2"/>
      <c r="B14" s="168"/>
      <c r="C14" s="168"/>
      <c r="D14" s="168"/>
      <c r="E14" s="168"/>
      <c r="F14" s="168"/>
      <c r="G14" s="168"/>
      <c r="H14" s="168"/>
      <c r="I14" s="168"/>
      <c r="J14" s="32"/>
    </row>
    <row r="15" spans="1:11" s="33" customFormat="1" x14ac:dyDescent="0.35">
      <c r="A15" s="2" t="s">
        <v>23</v>
      </c>
      <c r="B15" s="167"/>
      <c r="C15" s="167">
        <v>8.6029999999999995E-2</v>
      </c>
      <c r="D15" s="167">
        <v>1.2999999999999999E-2</v>
      </c>
      <c r="E15" s="167">
        <v>2.2225999999999999E-2</v>
      </c>
      <c r="F15" s="167">
        <v>8.7999999999999995E-2</v>
      </c>
      <c r="G15" s="167">
        <f>'Table 3'!CL16</f>
        <v>-1.7647999999999886E-2</v>
      </c>
      <c r="H15" s="167">
        <v>-0.19700000000000001</v>
      </c>
      <c r="I15" s="167">
        <v>-3.3000000000000002E-2</v>
      </c>
      <c r="J15" s="32">
        <f>SUM(B15:I15)</f>
        <v>-3.8391999999999898E-2</v>
      </c>
    </row>
    <row r="16" spans="1:11" x14ac:dyDescent="0.35">
      <c r="A16" s="1"/>
      <c r="B16" s="170"/>
      <c r="C16" s="170"/>
      <c r="D16" s="170"/>
      <c r="E16" s="170"/>
      <c r="F16" s="170"/>
      <c r="G16" s="170"/>
      <c r="H16" s="170"/>
      <c r="I16" s="170"/>
      <c r="J16" s="36"/>
    </row>
    <row r="17" spans="1:12" s="33" customFormat="1" ht="18" customHeight="1" x14ac:dyDescent="0.35">
      <c r="A17" s="2" t="s">
        <v>22</v>
      </c>
      <c r="B17" s="167">
        <f>0.098644</f>
        <v>9.8643999999999996E-2</v>
      </c>
      <c r="C17" s="167">
        <v>2.947E-2</v>
      </c>
      <c r="D17" s="167">
        <v>1.2999999999999999E-2</v>
      </c>
      <c r="E17" s="167">
        <v>0</v>
      </c>
      <c r="F17" s="167">
        <v>2.9000000000000001E-2</v>
      </c>
      <c r="G17" s="167">
        <f>'Table 3'!CL18</f>
        <v>-8.5309999999998443E-3</v>
      </c>
      <c r="H17" s="167">
        <v>-6.5000000000000002E-2</v>
      </c>
      <c r="I17" s="167">
        <v>-1.0999999999999999E-2</v>
      </c>
      <c r="J17" s="32">
        <f>SUM(B17:I17)</f>
        <v>8.5583000000000173E-2</v>
      </c>
    </row>
    <row r="18" spans="1:12" s="33" customFormat="1" x14ac:dyDescent="0.35">
      <c r="A18" s="2"/>
      <c r="B18" s="168"/>
      <c r="C18" s="168"/>
      <c r="D18" s="168"/>
      <c r="E18" s="168"/>
      <c r="F18" s="168"/>
      <c r="G18" s="168"/>
      <c r="H18" s="168"/>
      <c r="I18" s="168"/>
      <c r="J18" s="367"/>
    </row>
    <row r="19" spans="1:12" s="33" customFormat="1" x14ac:dyDescent="0.35">
      <c r="A19" s="2" t="s">
        <v>186</v>
      </c>
      <c r="B19" s="167"/>
      <c r="C19" s="167">
        <v>8.6940000000000003E-2</v>
      </c>
      <c r="D19" s="167">
        <v>1.2999999999999999E-2</v>
      </c>
      <c r="E19" s="167">
        <v>5.1290000000000002E-2</v>
      </c>
      <c r="F19" s="167">
        <v>9.0999999999999998E-2</v>
      </c>
      <c r="G19" s="167">
        <f>'Table 3'!CL20</f>
        <v>-0.25454899999999991</v>
      </c>
      <c r="H19" s="167">
        <v>-0.20399999999999999</v>
      </c>
      <c r="I19" s="167">
        <v>-3.4000000000000002E-2</v>
      </c>
      <c r="J19" s="32">
        <f>SUM(B19:I19)</f>
        <v>-0.2503189999999999</v>
      </c>
    </row>
    <row r="20" spans="1:12" ht="16" thickBot="1" x14ac:dyDescent="0.4">
      <c r="A20" s="2"/>
      <c r="B20" s="118"/>
      <c r="C20" s="118"/>
      <c r="D20" s="118"/>
      <c r="E20" s="118"/>
      <c r="F20" s="118"/>
      <c r="G20" s="118"/>
      <c r="H20" s="118"/>
      <c r="I20" s="118"/>
      <c r="J20" s="97"/>
    </row>
    <row r="21" spans="1:12" ht="16" thickBot="1" x14ac:dyDescent="0.4">
      <c r="A21" s="37" t="s">
        <v>0</v>
      </c>
      <c r="B21" s="66">
        <f t="shared" ref="B21:J21" si="7">+B19+B7+B9+B11+B13+B15+B17</f>
        <v>0.31064399999999998</v>
      </c>
      <c r="C21" s="66">
        <f t="shared" si="7"/>
        <v>0.70000000000000007</v>
      </c>
      <c r="D21" s="66">
        <f t="shared" si="7"/>
        <v>9.0999999999999998E-2</v>
      </c>
      <c r="E21" s="66">
        <f t="shared" si="7"/>
        <v>0.26671</v>
      </c>
      <c r="F21" s="66">
        <f t="shared" si="7"/>
        <v>0.69699999999999995</v>
      </c>
      <c r="G21" s="66">
        <f t="shared" si="7"/>
        <v>-0.48631300000000066</v>
      </c>
      <c r="H21" s="66">
        <f t="shared" si="7"/>
        <v>-1.5609999999999999</v>
      </c>
      <c r="I21" s="66">
        <f t="shared" si="7"/>
        <v>-0.26200000000000001</v>
      </c>
      <c r="J21" s="138">
        <f t="shared" si="7"/>
        <v>-0.24395900000000059</v>
      </c>
    </row>
    <row r="22" spans="1:12" x14ac:dyDescent="0.35">
      <c r="B22" s="38"/>
      <c r="C22" s="38"/>
      <c r="D22" s="38"/>
      <c r="E22" s="38"/>
      <c r="F22" s="38"/>
      <c r="G22" s="38"/>
      <c r="H22" s="413"/>
      <c r="I22" s="413"/>
      <c r="J22" s="38"/>
      <c r="L22" s="8"/>
    </row>
    <row r="23" spans="1:12" x14ac:dyDescent="0.35">
      <c r="B23" s="312"/>
      <c r="C23" s="312"/>
      <c r="D23" s="312"/>
      <c r="E23" s="312"/>
      <c r="F23" s="312"/>
      <c r="G23" s="312"/>
    </row>
    <row r="24" spans="1:12" x14ac:dyDescent="0.35">
      <c r="H24" s="321">
        <f>SUM(H21:I21)</f>
        <v>-1.823</v>
      </c>
      <c r="I24" s="321"/>
    </row>
    <row r="25" spans="1:12" ht="123" customHeight="1" x14ac:dyDescent="0.35">
      <c r="E25" s="389"/>
      <c r="F25" s="389"/>
      <c r="H25" s="312" t="s">
        <v>253</v>
      </c>
      <c r="I25" s="389" t="s">
        <v>246</v>
      </c>
    </row>
    <row r="26" spans="1:12" ht="57.75" customHeight="1" x14ac:dyDescent="0.35">
      <c r="J26" s="312"/>
    </row>
  </sheetData>
  <phoneticPr fontId="12" type="noConversion"/>
  <printOptions horizontalCentered="1"/>
  <pageMargins left="0.77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F24"/>
  <sheetViews>
    <sheetView zoomScale="70" zoomScaleNormal="60" workbookViewId="0">
      <selection activeCell="C20" sqref="C20"/>
    </sheetView>
  </sheetViews>
  <sheetFormatPr defaultColWidth="8.84375" defaultRowHeight="15.5" x14ac:dyDescent="0.35"/>
  <cols>
    <col min="1" max="1" width="40.53515625" style="29" customWidth="1"/>
    <col min="2" max="2" width="12.84375" style="29" customWidth="1"/>
    <col min="3" max="3" width="11.23046875" style="29" customWidth="1"/>
    <col min="4" max="4" width="12.765625" style="29" customWidth="1"/>
    <col min="5" max="5" width="18" style="29" bestFit="1" customWidth="1"/>
    <col min="6" max="6" width="11" style="29" bestFit="1" customWidth="1"/>
    <col min="7" max="16384" width="8.84375" style="29"/>
  </cols>
  <sheetData>
    <row r="1" spans="1:6" s="8" customFormat="1" x14ac:dyDescent="0.35">
      <c r="A1" s="5" t="s">
        <v>234</v>
      </c>
      <c r="B1" s="27"/>
      <c r="C1" s="27"/>
      <c r="D1" s="27"/>
    </row>
    <row r="2" spans="1:6" s="8" customFormat="1" ht="16" thickBot="1" x14ac:dyDescent="0.4">
      <c r="B2" s="27"/>
      <c r="C2" s="27"/>
      <c r="D2" s="27"/>
    </row>
    <row r="3" spans="1:6" s="28" customFormat="1" ht="16.5" customHeight="1" x14ac:dyDescent="0.35">
      <c r="A3" s="58"/>
      <c r="B3" s="376">
        <v>1</v>
      </c>
      <c r="C3" s="376">
        <v>2</v>
      </c>
      <c r="D3" s="375">
        <v>3</v>
      </c>
    </row>
    <row r="4" spans="1:6" ht="105" customHeight="1" thickBot="1" x14ac:dyDescent="0.4">
      <c r="A4" s="49"/>
      <c r="B4" s="165" t="s">
        <v>298</v>
      </c>
      <c r="C4" s="165" t="s">
        <v>315</v>
      </c>
      <c r="D4" s="166" t="s">
        <v>316</v>
      </c>
    </row>
    <row r="5" spans="1:6" s="30" customFormat="1" ht="18.75" customHeight="1" x14ac:dyDescent="0.35">
      <c r="A5" s="61" t="s">
        <v>7</v>
      </c>
      <c r="B5" s="70" t="s">
        <v>15</v>
      </c>
      <c r="C5" s="70" t="s">
        <v>15</v>
      </c>
      <c r="D5" s="129" t="s">
        <v>15</v>
      </c>
    </row>
    <row r="6" spans="1:6" s="33" customFormat="1" x14ac:dyDescent="0.35">
      <c r="A6" s="31"/>
      <c r="B6" s="242"/>
      <c r="C6" s="242"/>
      <c r="D6" s="98"/>
    </row>
    <row r="7" spans="1:6" s="33" customFormat="1" x14ac:dyDescent="0.35">
      <c r="A7" s="2" t="s">
        <v>20</v>
      </c>
      <c r="B7" s="168">
        <v>13.447635999999999</v>
      </c>
      <c r="C7" s="168">
        <v>28.779</v>
      </c>
      <c r="D7" s="32">
        <f>SUM(B7:C7)</f>
        <v>42.226635999999999</v>
      </c>
      <c r="F7" s="260"/>
    </row>
    <row r="8" spans="1:6" s="33" customFormat="1" x14ac:dyDescent="0.35">
      <c r="A8" s="2"/>
      <c r="B8" s="168"/>
      <c r="C8" s="168"/>
      <c r="D8" s="32"/>
      <c r="F8" s="260"/>
    </row>
    <row r="9" spans="1:6" x14ac:dyDescent="0.35">
      <c r="A9" s="2" t="s">
        <v>29</v>
      </c>
      <c r="B9" s="250">
        <v>17.682120000000001</v>
      </c>
      <c r="C9" s="168">
        <v>33.490499999999997</v>
      </c>
      <c r="D9" s="32">
        <f>SUM(B9:C9)</f>
        <v>51.172619999999995</v>
      </c>
      <c r="F9" s="261"/>
    </row>
    <row r="10" spans="1:6" x14ac:dyDescent="0.35">
      <c r="A10" s="1"/>
      <c r="B10" s="170"/>
      <c r="C10" s="168"/>
      <c r="D10" s="36"/>
      <c r="F10" s="261"/>
    </row>
    <row r="11" spans="1:6" x14ac:dyDescent="0.35">
      <c r="A11" s="2" t="s">
        <v>21</v>
      </c>
      <c r="B11" s="168">
        <v>11.800411</v>
      </c>
      <c r="C11" s="168">
        <v>20.036999999999999</v>
      </c>
      <c r="D11" s="32">
        <f>SUM(B11:C11)</f>
        <v>31.837410999999999</v>
      </c>
      <c r="F11" s="261"/>
    </row>
    <row r="12" spans="1:6" x14ac:dyDescent="0.35">
      <c r="A12" s="2"/>
      <c r="B12" s="168"/>
      <c r="C12" s="168"/>
      <c r="D12" s="32"/>
    </row>
    <row r="13" spans="1:6" s="33" customFormat="1" x14ac:dyDescent="0.35">
      <c r="A13" s="2" t="s">
        <v>185</v>
      </c>
      <c r="B13" s="168">
        <v>12.264786000000001</v>
      </c>
      <c r="C13" s="168">
        <v>22.891500000000001</v>
      </c>
      <c r="D13" s="32">
        <f>SUM(B13:C13)</f>
        <v>35.156286000000001</v>
      </c>
    </row>
    <row r="14" spans="1:6" s="33" customFormat="1" x14ac:dyDescent="0.35">
      <c r="A14" s="2"/>
      <c r="B14" s="168"/>
      <c r="C14" s="168"/>
      <c r="D14" s="32"/>
    </row>
    <row r="15" spans="1:6" s="33" customFormat="1" x14ac:dyDescent="0.35">
      <c r="A15" s="2" t="s">
        <v>23</v>
      </c>
      <c r="B15" s="168">
        <v>10.422288999999999</v>
      </c>
      <c r="C15" s="168">
        <v>18.969000000000001</v>
      </c>
      <c r="D15" s="32">
        <f>SUM(B15:C15)</f>
        <v>29.391289</v>
      </c>
    </row>
    <row r="16" spans="1:6" x14ac:dyDescent="0.35">
      <c r="A16" s="1"/>
      <c r="B16" s="170"/>
      <c r="C16" s="168"/>
      <c r="D16" s="36"/>
    </row>
    <row r="17" spans="1:6" s="33" customFormat="1" x14ac:dyDescent="0.35">
      <c r="A17" s="2" t="s">
        <v>22</v>
      </c>
      <c r="B17" s="168">
        <v>2.514195</v>
      </c>
      <c r="C17" s="168">
        <v>6.2430000000000003</v>
      </c>
      <c r="D17" s="32">
        <f>SUM(B17:C17)</f>
        <v>8.7571949999999994</v>
      </c>
    </row>
    <row r="18" spans="1:6" s="33" customFormat="1" x14ac:dyDescent="0.35">
      <c r="A18" s="2"/>
      <c r="B18" s="250"/>
      <c r="C18" s="168"/>
      <c r="D18" s="367"/>
    </row>
    <row r="19" spans="1:6" s="33" customFormat="1" x14ac:dyDescent="0.35">
      <c r="A19" s="2" t="s">
        <v>186</v>
      </c>
      <c r="B19" s="168">
        <v>10.642094999999999</v>
      </c>
      <c r="C19" s="168">
        <v>19.59</v>
      </c>
      <c r="D19" s="32">
        <f>SUM(B19:C19)</f>
        <v>30.232095000000001</v>
      </c>
      <c r="F19" s="260"/>
    </row>
    <row r="20" spans="1:6" ht="16" thickBot="1" x14ac:dyDescent="0.4">
      <c r="A20" s="2"/>
      <c r="B20" s="316"/>
      <c r="C20" s="316"/>
      <c r="D20" s="97"/>
    </row>
    <row r="21" spans="1:6" ht="16" thickBot="1" x14ac:dyDescent="0.4">
      <c r="A21" s="37" t="s">
        <v>0</v>
      </c>
      <c r="B21" s="66">
        <f t="shared" ref="B21:D21" si="0">+B19+B7+B9+B11+B13+B15+B17</f>
        <v>78.773531999999989</v>
      </c>
      <c r="C21" s="66">
        <f t="shared" si="0"/>
        <v>150</v>
      </c>
      <c r="D21" s="138">
        <f t="shared" si="0"/>
        <v>228.77353199999999</v>
      </c>
    </row>
    <row r="22" spans="1:6" x14ac:dyDescent="0.35">
      <c r="E22" s="8"/>
    </row>
    <row r="24" spans="1:6" x14ac:dyDescent="0.35">
      <c r="A24" s="221"/>
    </row>
  </sheetData>
  <printOptions horizontalCentered="1"/>
  <pageMargins left="0.77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69"/>
  <sheetViews>
    <sheetView zoomScale="70" zoomScaleNormal="70" workbookViewId="0">
      <selection activeCell="P18" sqref="P18"/>
    </sheetView>
  </sheetViews>
  <sheetFormatPr defaultColWidth="8.84375" defaultRowHeight="15.5" x14ac:dyDescent="0.35"/>
  <cols>
    <col min="1" max="1" width="44.4609375" style="29" customWidth="1"/>
    <col min="2" max="2" width="9.84375" style="29" customWidth="1"/>
    <col min="3" max="3" width="10.4609375" style="450" customWidth="1"/>
    <col min="4" max="4" width="10.23046875" style="48" customWidth="1"/>
    <col min="5" max="5" width="9.23046875" style="48" customWidth="1"/>
    <col min="6" max="7" width="9.07421875" style="48" customWidth="1"/>
    <col min="8" max="8" width="8.765625" style="48" customWidth="1"/>
    <col min="9" max="9" width="8.84375" style="48" customWidth="1"/>
    <col min="10" max="10" width="11.765625" style="48" customWidth="1"/>
    <col min="11" max="11" width="9.84375" style="48" customWidth="1"/>
    <col min="12" max="12" width="9.07421875" style="48" customWidth="1"/>
    <col min="13" max="16" width="9.84375" style="48" customWidth="1"/>
    <col min="17" max="17" width="12.84375" style="29" customWidth="1"/>
    <col min="18" max="18" width="8.53515625" style="29" customWidth="1"/>
    <col min="19" max="16384" width="8.84375" style="29"/>
  </cols>
  <sheetData>
    <row r="1" spans="1:19" x14ac:dyDescent="0.35">
      <c r="A1" s="33" t="s">
        <v>285</v>
      </c>
      <c r="B1" s="33"/>
      <c r="C1" s="48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x14ac:dyDescent="0.35">
      <c r="A2" s="221" t="s">
        <v>188</v>
      </c>
      <c r="C2" s="4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ht="16" thickBot="1" x14ac:dyDescent="0.4">
      <c r="C3" s="4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9" s="417" customFormat="1" x14ac:dyDescent="0.35">
      <c r="A4" s="43"/>
      <c r="B4" s="416">
        <v>1</v>
      </c>
      <c r="C4" s="7">
        <f t="shared" ref="C4:E4" si="0">+B4+1</f>
        <v>2</v>
      </c>
      <c r="D4" s="313">
        <f t="shared" si="0"/>
        <v>3</v>
      </c>
      <c r="E4" s="7">
        <f t="shared" si="0"/>
        <v>4</v>
      </c>
      <c r="F4" s="7">
        <f t="shared" ref="F4" si="1">+E4+1</f>
        <v>5</v>
      </c>
      <c r="G4" s="313">
        <f t="shared" ref="G4" si="2">+F4+1</f>
        <v>6</v>
      </c>
      <c r="H4" s="7">
        <f t="shared" ref="H4" si="3">+G4+1</f>
        <v>7</v>
      </c>
      <c r="I4" s="7">
        <f t="shared" ref="I4" si="4">+H4+1</f>
        <v>8</v>
      </c>
      <c r="J4" s="7">
        <f t="shared" ref="J4" si="5">+I4+1</f>
        <v>9</v>
      </c>
      <c r="K4" s="7">
        <f t="shared" ref="K4" si="6">+J4+1</f>
        <v>10</v>
      </c>
      <c r="L4" s="7">
        <f t="shared" ref="L4" si="7">+K4+1</f>
        <v>11</v>
      </c>
      <c r="M4" s="7">
        <f t="shared" ref="M4" si="8">+L4+1</f>
        <v>12</v>
      </c>
      <c r="N4" s="313">
        <f t="shared" ref="N4" si="9">+M4+1</f>
        <v>13</v>
      </c>
      <c r="O4" s="313">
        <f t="shared" ref="O4" si="10">+N4+1</f>
        <v>14</v>
      </c>
      <c r="P4" s="313">
        <f t="shared" ref="P4" si="11">+O4+1</f>
        <v>15</v>
      </c>
      <c r="Q4" s="7">
        <f t="shared" ref="Q4" si="12">+P4+1</f>
        <v>16</v>
      </c>
    </row>
    <row r="5" spans="1:19" ht="209.15" customHeight="1" thickBot="1" x14ac:dyDescent="0.4">
      <c r="A5" s="418"/>
      <c r="B5" s="72" t="s">
        <v>286</v>
      </c>
      <c r="C5" s="419" t="s">
        <v>287</v>
      </c>
      <c r="D5" s="284" t="s">
        <v>306</v>
      </c>
      <c r="E5" s="284" t="s">
        <v>288</v>
      </c>
      <c r="F5" s="284" t="s">
        <v>289</v>
      </c>
      <c r="G5" s="284" t="s">
        <v>290</v>
      </c>
      <c r="H5" s="284" t="s">
        <v>291</v>
      </c>
      <c r="I5" s="284" t="s">
        <v>292</v>
      </c>
      <c r="J5" s="284" t="s">
        <v>293</v>
      </c>
      <c r="K5" s="284" t="s">
        <v>294</v>
      </c>
      <c r="L5" s="284" t="s">
        <v>295</v>
      </c>
      <c r="M5" s="284" t="s">
        <v>296</v>
      </c>
      <c r="N5" s="284" t="s">
        <v>252</v>
      </c>
      <c r="O5" s="284" t="s">
        <v>311</v>
      </c>
      <c r="P5" s="284" t="s">
        <v>312</v>
      </c>
      <c r="Q5" s="420" t="s">
        <v>297</v>
      </c>
    </row>
    <row r="6" spans="1:19" s="424" customFormat="1" ht="15.75" customHeight="1" x14ac:dyDescent="0.3">
      <c r="A6" s="130"/>
      <c r="B6" s="421" t="s">
        <v>15</v>
      </c>
      <c r="C6" s="421" t="s">
        <v>15</v>
      </c>
      <c r="D6" s="131" t="s">
        <v>15</v>
      </c>
      <c r="E6" s="131" t="s">
        <v>15</v>
      </c>
      <c r="F6" s="131" t="s">
        <v>15</v>
      </c>
      <c r="G6" s="422" t="s">
        <v>15</v>
      </c>
      <c r="H6" s="422" t="s">
        <v>15</v>
      </c>
      <c r="I6" s="422" t="s">
        <v>15</v>
      </c>
      <c r="J6" s="422" t="s">
        <v>15</v>
      </c>
      <c r="K6" s="422" t="s">
        <v>15</v>
      </c>
      <c r="L6" s="70" t="s">
        <v>15</v>
      </c>
      <c r="M6" s="422" t="s">
        <v>15</v>
      </c>
      <c r="N6" s="422" t="s">
        <v>15</v>
      </c>
      <c r="O6" s="422" t="s">
        <v>15</v>
      </c>
      <c r="P6" s="70" t="s">
        <v>15</v>
      </c>
      <c r="Q6" s="423" t="s">
        <v>15</v>
      </c>
    </row>
    <row r="7" spans="1:19" s="33" customFormat="1" x14ac:dyDescent="0.35">
      <c r="A7" s="3"/>
      <c r="B7" s="425"/>
      <c r="C7" s="426"/>
      <c r="D7" s="427"/>
      <c r="E7" s="77"/>
      <c r="F7" s="241"/>
      <c r="G7" s="283"/>
      <c r="H7" s="428"/>
      <c r="I7" s="241"/>
      <c r="J7" s="428"/>
      <c r="K7" s="428"/>
      <c r="L7" s="92"/>
      <c r="M7" s="428"/>
      <c r="N7" s="428"/>
      <c r="O7" s="428"/>
      <c r="P7" s="92"/>
      <c r="Q7" s="429"/>
    </row>
    <row r="8" spans="1:19" s="33" customFormat="1" x14ac:dyDescent="0.35">
      <c r="A8" s="2" t="s">
        <v>20</v>
      </c>
      <c r="B8" s="425">
        <v>13.799727499999999</v>
      </c>
      <c r="C8" s="425">
        <f>'Table 4'!B10</f>
        <v>30.462414422084333</v>
      </c>
      <c r="D8" s="425">
        <f>'Table 2'!I7</f>
        <v>110.6042909</v>
      </c>
      <c r="E8" s="430">
        <v>9.4916794775000017</v>
      </c>
      <c r="F8" s="431">
        <f>0.97215-0.01+0.363344</f>
        <v>1.325494</v>
      </c>
      <c r="G8" s="431">
        <f>0.60497+0.301+0.302+0.224+0.299</f>
        <v>1.7309699999999999</v>
      </c>
      <c r="H8" s="432">
        <v>0.105195</v>
      </c>
      <c r="I8" s="26">
        <f>0.722+0.346</f>
        <v>1.0680000000000001</v>
      </c>
      <c r="J8" s="433">
        <f>1.642+0.207</f>
        <v>1.849</v>
      </c>
      <c r="K8" s="433">
        <v>0.42465999999999998</v>
      </c>
      <c r="L8" s="167"/>
      <c r="M8" s="433">
        <f>3.014-0.002861-0.018914</f>
        <v>2.9922249999999999</v>
      </c>
      <c r="N8" s="433">
        <v>32.023409999999998</v>
      </c>
      <c r="O8" s="433">
        <v>2.8778999999999999</v>
      </c>
      <c r="P8" s="167">
        <v>24.49184</v>
      </c>
      <c r="Q8" s="434">
        <f>SUM(B8:P8)</f>
        <v>233.24680629958434</v>
      </c>
      <c r="R8" s="435"/>
      <c r="S8" s="436"/>
    </row>
    <row r="9" spans="1:19" s="33" customFormat="1" x14ac:dyDescent="0.35">
      <c r="A9" s="2"/>
      <c r="B9" s="425"/>
      <c r="C9" s="425"/>
      <c r="D9" s="425"/>
      <c r="E9" s="430"/>
      <c r="F9" s="431"/>
      <c r="G9" s="431"/>
      <c r="H9" s="432"/>
      <c r="I9" s="26"/>
      <c r="J9" s="433"/>
      <c r="K9" s="433"/>
      <c r="L9" s="167"/>
      <c r="M9" s="433"/>
      <c r="N9" s="433"/>
      <c r="O9" s="433"/>
      <c r="P9" s="167"/>
      <c r="Q9" s="434"/>
      <c r="R9" s="435"/>
      <c r="S9" s="437"/>
    </row>
    <row r="10" spans="1:19" s="33" customFormat="1" x14ac:dyDescent="0.35">
      <c r="A10" s="69" t="s">
        <v>29</v>
      </c>
      <c r="B10" s="425">
        <v>17.214145000000002</v>
      </c>
      <c r="C10" s="425">
        <f>'Table 4'!B12</f>
        <v>31.789425353502139</v>
      </c>
      <c r="D10" s="425">
        <f>'Table 2'!I9</f>
        <v>149.56174399999998</v>
      </c>
      <c r="E10" s="430">
        <v>20.115160980749998</v>
      </c>
      <c r="F10" s="431">
        <v>1.2981640000000001</v>
      </c>
      <c r="G10" s="431">
        <f>0.934022+0.334+0.336+0.25+0.349</f>
        <v>2.2030219999999998</v>
      </c>
      <c r="H10" s="432">
        <v>0.162412</v>
      </c>
      <c r="I10" s="26">
        <f>0.802+0.385</f>
        <v>1.1870000000000001</v>
      </c>
      <c r="J10" s="433">
        <v>2.625</v>
      </c>
      <c r="K10" s="433">
        <v>0</v>
      </c>
      <c r="L10" s="167">
        <v>82</v>
      </c>
      <c r="M10" s="433">
        <f>3.613-0.003193-0.02234</f>
        <v>3.5874670000000002</v>
      </c>
      <c r="N10" s="433">
        <v>38.394159999999999</v>
      </c>
      <c r="O10" s="433">
        <v>3.3490500000000001</v>
      </c>
      <c r="P10" s="167">
        <v>29.442679999999999</v>
      </c>
      <c r="Q10" s="434">
        <f>SUM(B10:P10)</f>
        <v>382.92943033425212</v>
      </c>
      <c r="S10" s="436"/>
    </row>
    <row r="11" spans="1:19" s="33" customFormat="1" x14ac:dyDescent="0.35">
      <c r="A11" s="2"/>
      <c r="B11" s="425"/>
      <c r="C11" s="425"/>
      <c r="D11" s="425"/>
      <c r="E11" s="430"/>
      <c r="F11" s="431"/>
      <c r="G11" s="431"/>
      <c r="H11" s="432"/>
      <c r="I11" s="26"/>
      <c r="J11" s="433"/>
      <c r="K11" s="433"/>
      <c r="L11" s="169"/>
      <c r="M11" s="433"/>
      <c r="N11" s="433"/>
      <c r="O11" s="433"/>
      <c r="P11" s="169"/>
      <c r="Q11" s="434"/>
      <c r="R11" s="435"/>
      <c r="S11" s="437"/>
    </row>
    <row r="12" spans="1:19" s="33" customFormat="1" x14ac:dyDescent="0.35">
      <c r="A12" s="2" t="s">
        <v>21</v>
      </c>
      <c r="B12" s="425">
        <v>0.48799600000000237</v>
      </c>
      <c r="C12" s="425">
        <f>'Table 4'!B14</f>
        <v>19.745068263336275</v>
      </c>
      <c r="D12" s="425">
        <f>'Table 2'!I11</f>
        <v>111.06172259999998</v>
      </c>
      <c r="E12" s="430">
        <v>6.9342506925</v>
      </c>
      <c r="F12" s="431">
        <v>0.70154700000000003</v>
      </c>
      <c r="G12" s="431">
        <f>0.433785+0.226+0.227+0.169+0.209</f>
        <v>1.264785</v>
      </c>
      <c r="H12" s="432">
        <v>7.5428999999999996E-2</v>
      </c>
      <c r="I12" s="26">
        <f>0.543+0.26</f>
        <v>0.80300000000000005</v>
      </c>
      <c r="J12" s="433">
        <f>4.5+0.17</f>
        <v>4.67</v>
      </c>
      <c r="K12" s="433">
        <v>0.34782000000000002</v>
      </c>
      <c r="L12" s="433"/>
      <c r="M12" s="433">
        <f>2.129-0.002164+0.086526</f>
        <v>2.2133620000000001</v>
      </c>
      <c r="N12" s="433">
        <v>22.617989999999999</v>
      </c>
      <c r="O12" s="433">
        <v>2.0036999999999998</v>
      </c>
      <c r="P12" s="433">
        <v>17.515940000000001</v>
      </c>
      <c r="Q12" s="434">
        <f>SUM(B12:P12)</f>
        <v>190.44261055583627</v>
      </c>
      <c r="S12" s="436"/>
    </row>
    <row r="13" spans="1:19" s="33" customFormat="1" x14ac:dyDescent="0.35">
      <c r="A13" s="2"/>
      <c r="B13" s="425"/>
      <c r="C13" s="425"/>
      <c r="D13" s="425"/>
      <c r="E13" s="430"/>
      <c r="F13" s="431"/>
      <c r="G13" s="431"/>
      <c r="H13" s="432"/>
      <c r="I13" s="26"/>
      <c r="J13" s="433"/>
      <c r="K13" s="433"/>
      <c r="L13" s="433"/>
      <c r="M13" s="433"/>
      <c r="N13" s="433"/>
      <c r="O13" s="433"/>
      <c r="P13" s="433"/>
      <c r="Q13" s="434"/>
      <c r="S13" s="437"/>
    </row>
    <row r="14" spans="1:19" s="33" customFormat="1" x14ac:dyDescent="0.35">
      <c r="A14" s="2" t="s">
        <v>185</v>
      </c>
      <c r="B14" s="425">
        <v>0</v>
      </c>
      <c r="C14" s="425">
        <f>'Table 4'!B16</f>
        <v>27.87891179649386</v>
      </c>
      <c r="D14" s="425">
        <f>'Table 2'!I13</f>
        <v>106.08546893796552</v>
      </c>
      <c r="E14" s="430">
        <f>5.8395064275+3.22960589921649</f>
        <v>9.069112326716489</v>
      </c>
      <c r="F14" s="431">
        <f>0.5184+0.146722426955815</f>
        <v>0.66512242695581492</v>
      </c>
      <c r="G14" s="431">
        <f>0.328981+0.142503789092129+0.253+0.254+0.189+0.238</f>
        <v>1.4054847890921289</v>
      </c>
      <c r="H14" s="432">
        <f>0.057205+0.0247793273642258</f>
        <v>8.1984327364225798E-2</v>
      </c>
      <c r="I14" s="26">
        <f>0.606+0.291</f>
        <v>0.89700000000000002</v>
      </c>
      <c r="J14" s="433">
        <f>0.141+1.38</f>
        <v>1.5209999999999999</v>
      </c>
      <c r="K14" s="433">
        <v>0.28849000000000002</v>
      </c>
      <c r="L14" s="433"/>
      <c r="M14" s="433">
        <f>2.457-0.002411-0.0151</f>
        <v>2.439489</v>
      </c>
      <c r="N14" s="433">
        <v>26.102989999999998</v>
      </c>
      <c r="O14" s="433">
        <v>2.2891499999999998</v>
      </c>
      <c r="P14" s="433">
        <v>20.14472</v>
      </c>
      <c r="Q14" s="434">
        <f>SUM(B14:P14)</f>
        <v>198.86892360458805</v>
      </c>
      <c r="S14" s="436"/>
    </row>
    <row r="15" spans="1:19" x14ac:dyDescent="0.35">
      <c r="A15" s="1"/>
      <c r="B15" s="438"/>
      <c r="C15" s="34"/>
      <c r="D15" s="35"/>
      <c r="E15" s="430"/>
      <c r="F15" s="431"/>
      <c r="G15" s="431"/>
      <c r="H15" s="432"/>
      <c r="I15" s="26"/>
      <c r="J15" s="433"/>
      <c r="K15" s="433"/>
      <c r="L15" s="433"/>
      <c r="M15" s="433"/>
      <c r="N15" s="433"/>
      <c r="O15" s="433"/>
      <c r="P15" s="433"/>
      <c r="Q15" s="434"/>
      <c r="S15" s="439"/>
    </row>
    <row r="16" spans="1:19" s="33" customFormat="1" x14ac:dyDescent="0.35">
      <c r="A16" s="2" t="s">
        <v>23</v>
      </c>
      <c r="B16" s="425">
        <f>7.908875+0.754</f>
        <v>8.6628749999999997</v>
      </c>
      <c r="C16" s="425">
        <f>'Table 4'!B18</f>
        <v>20.097469647376336</v>
      </c>
      <c r="D16" s="425">
        <f>'Table 2'!I15</f>
        <v>86.592987299999962</v>
      </c>
      <c r="E16" s="430">
        <v>6.6551242749999995</v>
      </c>
      <c r="F16" s="431">
        <v>0.70760800000000001</v>
      </c>
      <c r="G16" s="431">
        <f>0.497211+0.191+0.192+0.143+0.197</f>
        <v>1.2202110000000002</v>
      </c>
      <c r="H16" s="432">
        <v>8.6457000000000006E-2</v>
      </c>
      <c r="I16" s="26">
        <f>0.458+0.22</f>
        <v>0.67800000000000005</v>
      </c>
      <c r="J16" s="433">
        <f>1.041+0.137</f>
        <v>1.1779999999999999</v>
      </c>
      <c r="K16" s="433">
        <v>0.28134999999999999</v>
      </c>
      <c r="L16" s="433"/>
      <c r="M16" s="433">
        <f>2.046-0.001811-0.012877</f>
        <v>2.0313119999999998</v>
      </c>
      <c r="N16" s="433">
        <v>21.741810000000001</v>
      </c>
      <c r="O16" s="433">
        <v>1.8969</v>
      </c>
      <c r="P16" s="433">
        <v>16.921040000000001</v>
      </c>
      <c r="Q16" s="434">
        <f>SUM(B16:P16)</f>
        <v>168.75114422237627</v>
      </c>
      <c r="S16" s="436"/>
    </row>
    <row r="17" spans="1:19" s="33" customFormat="1" x14ac:dyDescent="0.35">
      <c r="A17" s="2"/>
      <c r="B17" s="425"/>
      <c r="C17" s="425"/>
      <c r="D17" s="425"/>
      <c r="E17" s="430"/>
      <c r="F17" s="431"/>
      <c r="G17" s="431"/>
      <c r="H17" s="432"/>
      <c r="I17" s="26"/>
      <c r="J17" s="433"/>
      <c r="K17" s="433"/>
      <c r="L17" s="433"/>
      <c r="M17" s="433"/>
      <c r="N17" s="433"/>
      <c r="O17" s="433"/>
      <c r="P17" s="433"/>
      <c r="Q17" s="434"/>
      <c r="S17" s="437"/>
    </row>
    <row r="18" spans="1:19" x14ac:dyDescent="0.35">
      <c r="A18" s="2" t="s">
        <v>22</v>
      </c>
      <c r="B18" s="425">
        <v>7.4937849999999999</v>
      </c>
      <c r="C18" s="425">
        <f>'Table 4'!B20</f>
        <v>4.4677808479233692</v>
      </c>
      <c r="D18" s="425">
        <f>'Table 2'!I17</f>
        <v>31.304010299999998</v>
      </c>
      <c r="E18" s="430">
        <v>1.8755139350000003</v>
      </c>
      <c r="F18" s="431">
        <f>0.254074+0.01</f>
        <v>0.26407400000000003</v>
      </c>
      <c r="G18" s="431">
        <f>0.27022+0.064+0.064+0.047+0.065</f>
        <v>0.51022000000000001</v>
      </c>
      <c r="H18" s="432">
        <v>4.6987000000000001E-2</v>
      </c>
      <c r="I18" s="26">
        <f>0.154+0.074</f>
        <v>0.22799999999999998</v>
      </c>
      <c r="J18" s="433">
        <f>0.024</f>
        <v>2.4E-2</v>
      </c>
      <c r="K18" s="433">
        <v>4.8959999999999997E-2</v>
      </c>
      <c r="L18" s="433"/>
      <c r="M18" s="433">
        <f>0.708-0.000611-0.004162</f>
        <v>0.70322699999999994</v>
      </c>
      <c r="N18" s="433">
        <v>7.5184199999999999</v>
      </c>
      <c r="O18" s="433">
        <v>0.62429999999999997</v>
      </c>
      <c r="P18" s="433">
        <v>6.3449200000000001</v>
      </c>
      <c r="Q18" s="434">
        <f>SUM(B18:P18)</f>
        <v>61.454198082923369</v>
      </c>
      <c r="S18" s="436"/>
    </row>
    <row r="19" spans="1:19" x14ac:dyDescent="0.35">
      <c r="A19" s="111"/>
      <c r="B19" s="425"/>
      <c r="C19" s="440"/>
      <c r="D19" s="440"/>
      <c r="E19" s="441"/>
      <c r="F19" s="442"/>
      <c r="G19" s="443"/>
      <c r="H19" s="443"/>
      <c r="I19" s="443"/>
      <c r="J19" s="444"/>
      <c r="K19" s="444"/>
      <c r="L19" s="444"/>
      <c r="M19" s="444"/>
      <c r="N19" s="444"/>
      <c r="O19" s="444"/>
      <c r="P19" s="444"/>
      <c r="Q19" s="434"/>
      <c r="S19" s="436"/>
    </row>
    <row r="20" spans="1:19" s="33" customFormat="1" x14ac:dyDescent="0.35">
      <c r="A20" s="111" t="s">
        <v>186</v>
      </c>
      <c r="B20" s="425">
        <v>22.903748999999998</v>
      </c>
      <c r="C20" s="425">
        <f>'Table 4'!B22</f>
        <v>21.195710674741619</v>
      </c>
      <c r="D20" s="425">
        <f>'Table 2'!I19</f>
        <v>96.849792262034498</v>
      </c>
      <c r="E20" s="430">
        <f>11.8918957325-3.22960589921649</f>
        <v>8.6622898332835092</v>
      </c>
      <c r="F20" s="431">
        <f>0.5235-0.146722426955815</f>
        <v>0.37677757304418497</v>
      </c>
      <c r="G20" s="26">
        <f>0.507892-0.142503789092129+0.204+0.205+0.152+0.204</f>
        <v>1.1303882109078709</v>
      </c>
      <c r="H20" s="433">
        <f>0.088315-0.0247793273642258</f>
        <v>6.3535672635774199E-2</v>
      </c>
      <c r="I20" s="26">
        <f>0.489+0.234</f>
        <v>0.72299999999999998</v>
      </c>
      <c r="J20" s="433">
        <f>0.961+0.151+0.151</f>
        <v>1.2629999999999999</v>
      </c>
      <c r="K20" s="433">
        <v>0.30871999999999999</v>
      </c>
      <c r="L20" s="433"/>
      <c r="M20" s="433">
        <f>2.033+0.013051-0.013133</f>
        <v>2.032918</v>
      </c>
      <c r="N20" s="433">
        <v>21.601389999999999</v>
      </c>
      <c r="O20" s="433">
        <v>1.9590000000000001</v>
      </c>
      <c r="P20" s="433">
        <v>16.795860000000001</v>
      </c>
      <c r="Q20" s="434">
        <f>SUM(B20:P20)</f>
        <v>195.86613122664747</v>
      </c>
      <c r="S20" s="436"/>
    </row>
    <row r="21" spans="1:19" ht="16" thickBot="1" x14ac:dyDescent="0.4">
      <c r="A21" s="76"/>
      <c r="B21" s="445"/>
      <c r="C21" s="34"/>
      <c r="D21" s="34"/>
      <c r="E21" s="34"/>
      <c r="F21" s="427"/>
      <c r="G21" s="446"/>
      <c r="H21" s="447"/>
      <c r="I21" s="79"/>
      <c r="J21" s="447"/>
      <c r="K21" s="447"/>
      <c r="L21" s="447"/>
      <c r="M21" s="447"/>
      <c r="N21" s="447"/>
      <c r="O21" s="447"/>
      <c r="P21" s="447"/>
      <c r="Q21" s="434"/>
    </row>
    <row r="22" spans="1:19" s="20" customFormat="1" ht="21.75" customHeight="1" thickBot="1" x14ac:dyDescent="0.4">
      <c r="A22" s="46" t="s">
        <v>0</v>
      </c>
      <c r="B22" s="67">
        <f t="shared" ref="B22:Q22" si="13">+B10+B20+B16+B18+B14+B12+B8</f>
        <v>70.562277500000008</v>
      </c>
      <c r="C22" s="67">
        <f t="shared" si="13"/>
        <v>155.63678100545795</v>
      </c>
      <c r="D22" s="67">
        <f t="shared" si="13"/>
        <v>692.06001629999992</v>
      </c>
      <c r="E22" s="67">
        <f t="shared" si="13"/>
        <v>62.80313152075</v>
      </c>
      <c r="F22" s="67">
        <f t="shared" si="13"/>
        <v>5.3387869999999999</v>
      </c>
      <c r="G22" s="67">
        <f t="shared" si="13"/>
        <v>9.4650809999999996</v>
      </c>
      <c r="H22" s="67">
        <f t="shared" si="13"/>
        <v>0.622</v>
      </c>
      <c r="I22" s="67">
        <f t="shared" si="13"/>
        <v>5.5839999999999996</v>
      </c>
      <c r="J22" s="67">
        <f t="shared" si="13"/>
        <v>13.129999999999999</v>
      </c>
      <c r="K22" s="67">
        <f t="shared" si="13"/>
        <v>1.7</v>
      </c>
      <c r="L22" s="67">
        <f t="shared" si="13"/>
        <v>82</v>
      </c>
      <c r="M22" s="67">
        <f t="shared" si="13"/>
        <v>16</v>
      </c>
      <c r="N22" s="67">
        <f t="shared" si="13"/>
        <v>170.00016999999997</v>
      </c>
      <c r="O22" s="67">
        <f t="shared" si="13"/>
        <v>15</v>
      </c>
      <c r="P22" s="67">
        <f t="shared" si="13"/>
        <v>131.65700000000001</v>
      </c>
      <c r="Q22" s="67">
        <f t="shared" si="13"/>
        <v>1431.5592443262078</v>
      </c>
      <c r="R22" s="19"/>
    </row>
    <row r="23" spans="1:19" x14ac:dyDescent="0.35">
      <c r="C23" s="3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48"/>
      <c r="R23" s="311"/>
    </row>
    <row r="24" spans="1:19" ht="77.5" x14ac:dyDescent="0.35">
      <c r="C24" s="48"/>
      <c r="G24" s="449" t="s">
        <v>307</v>
      </c>
      <c r="H24" s="282"/>
      <c r="I24" s="282"/>
      <c r="J24" s="282"/>
      <c r="K24" s="282"/>
      <c r="L24" s="29"/>
      <c r="M24" s="29"/>
      <c r="N24" s="29"/>
      <c r="O24" s="29"/>
      <c r="P24" s="29"/>
    </row>
    <row r="25" spans="1:19" x14ac:dyDescent="0.35">
      <c r="C25" s="48"/>
    </row>
    <row r="26" spans="1:19" x14ac:dyDescent="0.35">
      <c r="C26" s="48"/>
    </row>
    <row r="27" spans="1:19" x14ac:dyDescent="0.35">
      <c r="C27" s="48"/>
    </row>
    <row r="28" spans="1:19" x14ac:dyDescent="0.35">
      <c r="C28" s="48"/>
    </row>
    <row r="29" spans="1:19" x14ac:dyDescent="0.35">
      <c r="C29" s="48"/>
    </row>
    <row r="30" spans="1:19" x14ac:dyDescent="0.35">
      <c r="C30" s="48"/>
    </row>
    <row r="31" spans="1:19" x14ac:dyDescent="0.35">
      <c r="C31" s="48"/>
    </row>
    <row r="32" spans="1:19" x14ac:dyDescent="0.35">
      <c r="C32" s="48"/>
    </row>
    <row r="33" spans="3:3" x14ac:dyDescent="0.35">
      <c r="C33" s="48"/>
    </row>
    <row r="34" spans="3:3" x14ac:dyDescent="0.35">
      <c r="C34" s="48"/>
    </row>
    <row r="35" spans="3:3" x14ac:dyDescent="0.35">
      <c r="C35" s="48"/>
    </row>
    <row r="36" spans="3:3" x14ac:dyDescent="0.35">
      <c r="C36" s="48"/>
    </row>
    <row r="37" spans="3:3" x14ac:dyDescent="0.35">
      <c r="C37" s="48"/>
    </row>
    <row r="38" spans="3:3" x14ac:dyDescent="0.35">
      <c r="C38" s="48"/>
    </row>
    <row r="39" spans="3:3" x14ac:dyDescent="0.35">
      <c r="C39" s="48"/>
    </row>
    <row r="40" spans="3:3" x14ac:dyDescent="0.35">
      <c r="C40" s="48"/>
    </row>
    <row r="41" spans="3:3" x14ac:dyDescent="0.35">
      <c r="C41" s="48"/>
    </row>
    <row r="42" spans="3:3" x14ac:dyDescent="0.35">
      <c r="C42" s="48"/>
    </row>
    <row r="43" spans="3:3" x14ac:dyDescent="0.35">
      <c r="C43" s="48"/>
    </row>
    <row r="44" spans="3:3" x14ac:dyDescent="0.35">
      <c r="C44" s="48"/>
    </row>
    <row r="45" spans="3:3" x14ac:dyDescent="0.35">
      <c r="C45" s="48"/>
    </row>
    <row r="46" spans="3:3" x14ac:dyDescent="0.35">
      <c r="C46" s="48"/>
    </row>
    <row r="47" spans="3:3" x14ac:dyDescent="0.35">
      <c r="C47" s="48"/>
    </row>
    <row r="48" spans="3:3" x14ac:dyDescent="0.35">
      <c r="C48" s="48"/>
    </row>
    <row r="49" spans="3:3" x14ac:dyDescent="0.35">
      <c r="C49" s="48"/>
    </row>
    <row r="50" spans="3:3" x14ac:dyDescent="0.35">
      <c r="C50" s="48"/>
    </row>
    <row r="51" spans="3:3" x14ac:dyDescent="0.35">
      <c r="C51" s="48"/>
    </row>
    <row r="52" spans="3:3" x14ac:dyDescent="0.35">
      <c r="C52" s="48"/>
    </row>
    <row r="53" spans="3:3" x14ac:dyDescent="0.35">
      <c r="C53" s="48"/>
    </row>
    <row r="54" spans="3:3" x14ac:dyDescent="0.35">
      <c r="C54" s="48"/>
    </row>
    <row r="55" spans="3:3" x14ac:dyDescent="0.35">
      <c r="C55" s="48"/>
    </row>
    <row r="56" spans="3:3" x14ac:dyDescent="0.35">
      <c r="C56" s="48"/>
    </row>
    <row r="57" spans="3:3" x14ac:dyDescent="0.35">
      <c r="C57" s="48"/>
    </row>
    <row r="58" spans="3:3" x14ac:dyDescent="0.35">
      <c r="C58" s="48"/>
    </row>
    <row r="59" spans="3:3" x14ac:dyDescent="0.35">
      <c r="C59" s="48"/>
    </row>
    <row r="60" spans="3:3" x14ac:dyDescent="0.35">
      <c r="C60" s="48"/>
    </row>
    <row r="61" spans="3:3" x14ac:dyDescent="0.35">
      <c r="C61" s="48"/>
    </row>
    <row r="62" spans="3:3" x14ac:dyDescent="0.35">
      <c r="C62" s="48"/>
    </row>
    <row r="63" spans="3:3" x14ac:dyDescent="0.35">
      <c r="C63" s="48"/>
    </row>
    <row r="64" spans="3:3" x14ac:dyDescent="0.35">
      <c r="C64" s="48"/>
    </row>
    <row r="65" spans="3:3" x14ac:dyDescent="0.35">
      <c r="C65" s="48"/>
    </row>
    <row r="66" spans="3:3" x14ac:dyDescent="0.35">
      <c r="C66" s="48"/>
    </row>
    <row r="67" spans="3:3" x14ac:dyDescent="0.35">
      <c r="C67" s="48"/>
    </row>
    <row r="68" spans="3:3" x14ac:dyDescent="0.35">
      <c r="C68" s="48"/>
    </row>
    <row r="69" spans="3:3" x14ac:dyDescent="0.35">
      <c r="C69" s="48"/>
    </row>
  </sheetData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P25"/>
  <sheetViews>
    <sheetView zoomScale="60" zoomScaleNormal="60" workbookViewId="0">
      <pane xSplit="1" ySplit="5" topLeftCell="K6" activePane="bottomRight" state="frozen"/>
      <selection activeCell="M5" sqref="M5"/>
      <selection pane="topRight" activeCell="M5" sqref="M5"/>
      <selection pane="bottomLeft" activeCell="M5" sqref="M5"/>
      <selection pane="bottomRight" activeCell="AN26" sqref="AN26"/>
    </sheetView>
  </sheetViews>
  <sheetFormatPr defaultRowHeight="15.5" x14ac:dyDescent="0.35"/>
  <cols>
    <col min="1" max="1" width="37.07421875" style="54" customWidth="1"/>
    <col min="2" max="2" width="9" style="48" customWidth="1"/>
    <col min="3" max="3" width="9.53515625" style="48" customWidth="1"/>
    <col min="4" max="6" width="11.07421875" style="48" hidden="1" customWidth="1"/>
    <col min="7" max="7" width="9.15234375" style="48" customWidth="1"/>
    <col min="8" max="8" width="10.07421875" style="48" customWidth="1"/>
    <col min="9" max="9" width="8.765625" style="48" customWidth="1"/>
    <col min="10" max="10" width="10.4609375" style="48" customWidth="1"/>
    <col min="11" max="11" width="8.3828125" style="48" customWidth="1"/>
    <col min="12" max="12" width="9.53515625" style="48" customWidth="1"/>
    <col min="13" max="13" width="8.3828125" style="48" customWidth="1"/>
    <col min="14" max="14" width="7.3046875" style="48" customWidth="1"/>
    <col min="15" max="15" width="8.53515625" style="48" customWidth="1"/>
    <col min="16" max="16" width="9.3046875" style="48" customWidth="1"/>
    <col min="17" max="17" width="8" style="48" customWidth="1"/>
    <col min="18" max="18" width="9.3828125" style="48" customWidth="1"/>
    <col min="19" max="20" width="11.07421875" style="48" customWidth="1"/>
    <col min="21" max="21" width="7.07421875" style="48" customWidth="1"/>
    <col min="22" max="22" width="8.15234375" style="48" customWidth="1"/>
    <col min="23" max="24" width="9.3046875" style="48" customWidth="1"/>
    <col min="25" max="25" width="10.765625" style="48" customWidth="1"/>
    <col min="26" max="26" width="7.921875" style="48" customWidth="1"/>
    <col min="27" max="27" width="9.3828125" style="48" customWidth="1"/>
    <col min="28" max="28" width="10.07421875" style="48" customWidth="1"/>
    <col min="29" max="29" width="9.3828125" style="48" customWidth="1"/>
    <col min="30" max="30" width="8.53515625" style="48" customWidth="1"/>
    <col min="31" max="31" width="9.3828125" style="48" customWidth="1"/>
    <col min="32" max="32" width="8.23046875" style="48" customWidth="1"/>
    <col min="33" max="33" width="8.61328125" style="48" customWidth="1"/>
    <col min="34" max="34" width="8.3828125" style="48" customWidth="1"/>
    <col min="35" max="35" width="10.3046875" style="48" customWidth="1"/>
    <col min="36" max="36" width="9.3828125" style="48" customWidth="1"/>
    <col min="37" max="37" width="8.921875" style="48" customWidth="1"/>
    <col min="38" max="38" width="9.15234375" style="48" customWidth="1"/>
    <col min="39" max="39" width="9" style="48" customWidth="1"/>
    <col min="40" max="40" width="11.07421875" style="81" customWidth="1"/>
    <col min="42" max="42" width="9.4609375" bestFit="1" customWidth="1"/>
  </cols>
  <sheetData>
    <row r="1" spans="1:42" x14ac:dyDescent="0.35">
      <c r="A1" s="33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78"/>
    </row>
    <row r="2" spans="1:42" x14ac:dyDescent="0.35">
      <c r="A2" s="221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78"/>
    </row>
    <row r="3" spans="1:42" ht="16" thickBot="1" x14ac:dyDescent="0.4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79"/>
    </row>
    <row r="4" spans="1:42" x14ac:dyDescent="0.35">
      <c r="A4" s="43"/>
      <c r="B4" s="7">
        <v>1</v>
      </c>
      <c r="C4" s="7">
        <f>B4+1</f>
        <v>2</v>
      </c>
      <c r="D4" s="7" t="s">
        <v>7</v>
      </c>
      <c r="E4" s="7" t="s">
        <v>7</v>
      </c>
      <c r="F4" s="7" t="s">
        <v>7</v>
      </c>
      <c r="G4" s="7">
        <f>C4+1</f>
        <v>3</v>
      </c>
      <c r="H4" s="7">
        <f>+G4+1</f>
        <v>4</v>
      </c>
      <c r="I4" s="7">
        <f>+H4+1</f>
        <v>5</v>
      </c>
      <c r="J4" s="7">
        <f t="shared" ref="J4:O4" si="0">+I4+1</f>
        <v>6</v>
      </c>
      <c r="K4" s="7">
        <f t="shared" si="0"/>
        <v>7</v>
      </c>
      <c r="L4" s="7">
        <f t="shared" si="0"/>
        <v>8</v>
      </c>
      <c r="M4" s="7">
        <f t="shared" si="0"/>
        <v>9</v>
      </c>
      <c r="N4" s="7">
        <f t="shared" si="0"/>
        <v>10</v>
      </c>
      <c r="O4" s="7">
        <f t="shared" si="0"/>
        <v>11</v>
      </c>
      <c r="P4" s="7">
        <f t="shared" ref="P4:X4" si="1">+O4+1</f>
        <v>12</v>
      </c>
      <c r="Q4" s="7">
        <f t="shared" si="1"/>
        <v>13</v>
      </c>
      <c r="R4" s="7">
        <f t="shared" si="1"/>
        <v>14</v>
      </c>
      <c r="S4" s="7">
        <f t="shared" si="1"/>
        <v>15</v>
      </c>
      <c r="T4" s="7">
        <f t="shared" si="1"/>
        <v>16</v>
      </c>
      <c r="U4" s="7">
        <f t="shared" si="1"/>
        <v>17</v>
      </c>
      <c r="V4" s="7">
        <f t="shared" si="1"/>
        <v>18</v>
      </c>
      <c r="W4" s="7">
        <f t="shared" si="1"/>
        <v>19</v>
      </c>
      <c r="X4" s="313">
        <f t="shared" si="1"/>
        <v>20</v>
      </c>
      <c r="Y4" s="7">
        <f t="shared" ref="Y4:AD4" si="2">+X4+1</f>
        <v>21</v>
      </c>
      <c r="Z4" s="7">
        <f t="shared" si="2"/>
        <v>22</v>
      </c>
      <c r="AA4" s="7">
        <f t="shared" si="2"/>
        <v>23</v>
      </c>
      <c r="AB4" s="7">
        <f t="shared" si="2"/>
        <v>24</v>
      </c>
      <c r="AC4" s="7">
        <f t="shared" si="2"/>
        <v>25</v>
      </c>
      <c r="AD4" s="7">
        <f t="shared" si="2"/>
        <v>26</v>
      </c>
      <c r="AE4" s="7">
        <f>+AD4+1</f>
        <v>27</v>
      </c>
      <c r="AF4" s="7">
        <f>+AE4+1</f>
        <v>28</v>
      </c>
      <c r="AG4" s="7">
        <f>+AF4+1</f>
        <v>29</v>
      </c>
      <c r="AH4" s="313">
        <f t="shared" ref="AH4" si="3">+AG4+1</f>
        <v>30</v>
      </c>
      <c r="AI4" s="313">
        <f t="shared" ref="AI4" si="4">+AH4+1</f>
        <v>31</v>
      </c>
      <c r="AJ4" s="313">
        <f t="shared" ref="AJ4" si="5">+AI4+1</f>
        <v>32</v>
      </c>
      <c r="AK4" s="313">
        <f t="shared" ref="AK4" si="6">+AJ4+1</f>
        <v>33</v>
      </c>
      <c r="AL4" s="313">
        <f t="shared" ref="AL4" si="7">+AK4+1</f>
        <v>34</v>
      </c>
      <c r="AM4" s="313">
        <f t="shared" ref="AM4" si="8">+AL4+1</f>
        <v>35</v>
      </c>
      <c r="AN4" s="313">
        <f t="shared" ref="AN4" si="9">+AM4+1</f>
        <v>36</v>
      </c>
    </row>
    <row r="5" spans="1:42" ht="172.5" customHeight="1" thickBot="1" x14ac:dyDescent="0.4">
      <c r="A5" s="44"/>
      <c r="B5" s="72" t="s">
        <v>8</v>
      </c>
      <c r="C5" s="72" t="s">
        <v>109</v>
      </c>
      <c r="D5" s="72" t="s">
        <v>37</v>
      </c>
      <c r="E5" s="72" t="s">
        <v>38</v>
      </c>
      <c r="F5" s="72" t="s">
        <v>39</v>
      </c>
      <c r="G5" s="72" t="s">
        <v>19</v>
      </c>
      <c r="H5" s="72" t="s">
        <v>42</v>
      </c>
      <c r="I5" s="72" t="s">
        <v>43</v>
      </c>
      <c r="J5" s="72" t="s">
        <v>100</v>
      </c>
      <c r="K5" s="72" t="s">
        <v>91</v>
      </c>
      <c r="L5" s="72" t="s">
        <v>108</v>
      </c>
      <c r="M5" s="72" t="s">
        <v>90</v>
      </c>
      <c r="N5" s="72" t="s">
        <v>111</v>
      </c>
      <c r="O5" s="72" t="s">
        <v>112</v>
      </c>
      <c r="P5" s="72" t="s">
        <v>113</v>
      </c>
      <c r="Q5" s="72" t="s">
        <v>125</v>
      </c>
      <c r="R5" s="284" t="s">
        <v>126</v>
      </c>
      <c r="S5" s="284" t="s">
        <v>127</v>
      </c>
      <c r="T5" s="284" t="s">
        <v>147</v>
      </c>
      <c r="U5" s="284" t="s">
        <v>148</v>
      </c>
      <c r="V5" s="284" t="s">
        <v>146</v>
      </c>
      <c r="W5" s="284" t="s">
        <v>149</v>
      </c>
      <c r="X5" s="284" t="s">
        <v>150</v>
      </c>
      <c r="Y5" s="284" t="s">
        <v>302</v>
      </c>
      <c r="Z5" s="284" t="s">
        <v>303</v>
      </c>
      <c r="AA5" s="284" t="s">
        <v>170</v>
      </c>
      <c r="AB5" s="284" t="s">
        <v>195</v>
      </c>
      <c r="AC5" s="284" t="s">
        <v>196</v>
      </c>
      <c r="AD5" s="284" t="s">
        <v>203</v>
      </c>
      <c r="AE5" s="284" t="s">
        <v>205</v>
      </c>
      <c r="AF5" s="284" t="s">
        <v>211</v>
      </c>
      <c r="AG5" s="284" t="s">
        <v>202</v>
      </c>
      <c r="AH5" s="284" t="s">
        <v>270</v>
      </c>
      <c r="AI5" s="284" t="s">
        <v>284</v>
      </c>
      <c r="AJ5" s="284" t="s">
        <v>304</v>
      </c>
      <c r="AK5" s="284" t="s">
        <v>317</v>
      </c>
      <c r="AL5" s="284" t="s">
        <v>318</v>
      </c>
      <c r="AM5" s="284" t="s">
        <v>319</v>
      </c>
      <c r="AN5" s="83" t="s">
        <v>25</v>
      </c>
    </row>
    <row r="6" spans="1:42" x14ac:dyDescent="0.35">
      <c r="A6" s="130"/>
      <c r="B6" s="131" t="s">
        <v>15</v>
      </c>
      <c r="C6" s="131" t="s">
        <v>15</v>
      </c>
      <c r="D6" s="131" t="s">
        <v>15</v>
      </c>
      <c r="E6" s="131" t="s">
        <v>15</v>
      </c>
      <c r="F6" s="131" t="s">
        <v>15</v>
      </c>
      <c r="G6" s="131" t="s">
        <v>15</v>
      </c>
      <c r="H6" s="131" t="s">
        <v>15</v>
      </c>
      <c r="I6" s="131" t="s">
        <v>15</v>
      </c>
      <c r="J6" s="131" t="s">
        <v>15</v>
      </c>
      <c r="K6" s="131" t="s">
        <v>15</v>
      </c>
      <c r="L6" s="131" t="s">
        <v>15</v>
      </c>
      <c r="M6" s="131" t="s">
        <v>15</v>
      </c>
      <c r="N6" s="131" t="s">
        <v>15</v>
      </c>
      <c r="O6" s="131" t="s">
        <v>15</v>
      </c>
      <c r="P6" s="131" t="s">
        <v>15</v>
      </c>
      <c r="Q6" s="131" t="s">
        <v>15</v>
      </c>
      <c r="R6" s="131" t="s">
        <v>15</v>
      </c>
      <c r="S6" s="131" t="s">
        <v>15</v>
      </c>
      <c r="T6" s="131" t="s">
        <v>15</v>
      </c>
      <c r="U6" s="131" t="s">
        <v>15</v>
      </c>
      <c r="V6" s="131" t="s">
        <v>15</v>
      </c>
      <c r="W6" s="131" t="s">
        <v>15</v>
      </c>
      <c r="X6" s="131" t="s">
        <v>15</v>
      </c>
      <c r="Y6" s="131" t="s">
        <v>15</v>
      </c>
      <c r="Z6" s="131" t="s">
        <v>15</v>
      </c>
      <c r="AA6" s="131" t="s">
        <v>15</v>
      </c>
      <c r="AB6" s="131" t="s">
        <v>15</v>
      </c>
      <c r="AC6" s="131" t="s">
        <v>15</v>
      </c>
      <c r="AD6" s="131" t="s">
        <v>15</v>
      </c>
      <c r="AE6" s="131" t="s">
        <v>15</v>
      </c>
      <c r="AF6" s="131" t="s">
        <v>15</v>
      </c>
      <c r="AG6" s="131" t="s">
        <v>15</v>
      </c>
      <c r="AH6" s="131" t="s">
        <v>15</v>
      </c>
      <c r="AI6" s="131" t="s">
        <v>15</v>
      </c>
      <c r="AJ6" s="131" t="s">
        <v>15</v>
      </c>
      <c r="AK6" s="131" t="s">
        <v>15</v>
      </c>
      <c r="AL6" s="131" t="s">
        <v>15</v>
      </c>
      <c r="AM6" s="131" t="s">
        <v>15</v>
      </c>
      <c r="AN6" s="133" t="s">
        <v>15</v>
      </c>
    </row>
    <row r="7" spans="1:42" x14ac:dyDescent="0.35">
      <c r="A7" s="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82"/>
    </row>
    <row r="8" spans="1:42" s="57" customFormat="1" x14ac:dyDescent="0.35">
      <c r="A8" s="2" t="s">
        <v>20</v>
      </c>
      <c r="B8" s="64">
        <v>0</v>
      </c>
      <c r="C8" s="64">
        <v>0</v>
      </c>
      <c r="D8" s="64">
        <f>0.326-0.326</f>
        <v>0</v>
      </c>
      <c r="E8" s="64">
        <v>0</v>
      </c>
      <c r="F8" s="64">
        <f>0.255894-0.255894</f>
        <v>0</v>
      </c>
      <c r="G8" s="226">
        <f>0.4443075-0.4443075</f>
        <v>0</v>
      </c>
      <c r="H8" s="110">
        <v>0</v>
      </c>
      <c r="I8" s="110">
        <v>0.66311200000000003</v>
      </c>
      <c r="J8" s="110">
        <v>2.1000000000000001E-2</v>
      </c>
      <c r="K8" s="110"/>
      <c r="L8" s="110"/>
      <c r="M8" s="110"/>
      <c r="N8" s="110"/>
      <c r="O8" s="110"/>
      <c r="P8" s="110">
        <v>0.153</v>
      </c>
      <c r="Q8" s="110"/>
      <c r="R8" s="110"/>
      <c r="S8" s="110">
        <v>0.06</v>
      </c>
      <c r="T8" s="110">
        <v>5.5E-2</v>
      </c>
      <c r="U8" s="110"/>
      <c r="V8" s="110"/>
      <c r="W8" s="110"/>
      <c r="X8" s="110">
        <f>6.56+1.93+6.708+0.262</f>
        <v>15.46</v>
      </c>
      <c r="Y8" s="110"/>
      <c r="Z8" s="110"/>
      <c r="AA8" s="110"/>
      <c r="AB8" s="110">
        <v>2.4500000000000001E-2</v>
      </c>
      <c r="AC8" s="110">
        <v>6.4000000000000001E-2</v>
      </c>
      <c r="AD8" s="110">
        <v>0.04</v>
      </c>
      <c r="AE8" s="110">
        <v>5.1220000000000002E-2</v>
      </c>
      <c r="AF8" s="110"/>
      <c r="AG8" s="110">
        <v>5.6834000000000003E-2</v>
      </c>
      <c r="AH8" s="110"/>
      <c r="AI8" s="110">
        <v>0.27342100000000003</v>
      </c>
      <c r="AJ8" s="110">
        <v>4.6508000000000001E-2</v>
      </c>
      <c r="AK8" s="110"/>
      <c r="AL8" s="110"/>
      <c r="AM8" s="110"/>
      <c r="AN8" s="68">
        <f>SUM(B8:AM8)</f>
        <v>16.968594999999997</v>
      </c>
    </row>
    <row r="9" spans="1:42" s="57" customFormat="1" x14ac:dyDescent="0.35">
      <c r="A9" s="2"/>
      <c r="B9" s="64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68"/>
    </row>
    <row r="10" spans="1:42" s="57" customFormat="1" x14ac:dyDescent="0.35">
      <c r="A10" s="69" t="s">
        <v>29</v>
      </c>
      <c r="B10" s="112">
        <v>0</v>
      </c>
      <c r="C10" s="112">
        <f>0.306+0.0075</f>
        <v>0.3135</v>
      </c>
      <c r="D10" s="112">
        <f>0.156172-0.156172</f>
        <v>0</v>
      </c>
      <c r="E10" s="112">
        <f>0.162471-0.162471</f>
        <v>0</v>
      </c>
      <c r="F10" s="112">
        <f>0.127947-0.127947</f>
        <v>0</v>
      </c>
      <c r="G10" s="112">
        <v>0.19948500000000002</v>
      </c>
      <c r="H10" s="163">
        <v>0</v>
      </c>
      <c r="I10" s="163">
        <v>1.0796920000000001</v>
      </c>
      <c r="J10" s="163">
        <v>0.59499999999999997</v>
      </c>
      <c r="K10" s="163">
        <v>0.03</v>
      </c>
      <c r="L10" s="163"/>
      <c r="M10" s="163">
        <f>0.1+0.18</f>
        <v>0.28000000000000003</v>
      </c>
      <c r="N10" s="163"/>
      <c r="O10" s="163"/>
      <c r="P10" s="163">
        <v>0.30599999999999999</v>
      </c>
      <c r="Q10" s="163"/>
      <c r="R10" s="163"/>
      <c r="S10" s="163"/>
      <c r="T10" s="163">
        <v>6.7000000000000004E-2</v>
      </c>
      <c r="U10" s="163"/>
      <c r="V10" s="163"/>
      <c r="W10" s="163"/>
      <c r="X10" s="163"/>
      <c r="Y10" s="163"/>
      <c r="Z10" s="163">
        <v>0.15</v>
      </c>
      <c r="AA10" s="163"/>
      <c r="AB10" s="163"/>
      <c r="AC10" s="163"/>
      <c r="AD10" s="163">
        <v>7.8700999999999993E-2</v>
      </c>
      <c r="AE10" s="163">
        <v>6.1463999999999998E-2</v>
      </c>
      <c r="AF10" s="163"/>
      <c r="AG10" s="163"/>
      <c r="AH10" s="163"/>
      <c r="AI10" s="163"/>
      <c r="AJ10" s="163"/>
      <c r="AK10" s="163"/>
      <c r="AL10" s="163"/>
      <c r="AM10" s="163"/>
      <c r="AN10" s="68">
        <f>SUM(B10:AM10)</f>
        <v>3.1608419999999997</v>
      </c>
    </row>
    <row r="11" spans="1:42" s="57" customFormat="1" x14ac:dyDescent="0.35">
      <c r="A11" s="2"/>
      <c r="B11" s="64"/>
      <c r="C11" s="110"/>
      <c r="D11" s="110" t="s">
        <v>104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68"/>
    </row>
    <row r="12" spans="1:42" x14ac:dyDescent="0.35">
      <c r="A12" s="2" t="s">
        <v>21</v>
      </c>
      <c r="B12" s="64">
        <v>0.82010499999999997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10">
        <v>5.6000000000000001E-2</v>
      </c>
      <c r="I12" s="110">
        <f>26.333506-15</f>
        <v>11.333506</v>
      </c>
      <c r="J12" s="110">
        <v>3.6379999999999999</v>
      </c>
      <c r="K12" s="110">
        <v>6.6000000000000003E-2</v>
      </c>
      <c r="L12" s="110">
        <v>0.31</v>
      </c>
      <c r="M12" s="110"/>
      <c r="N12" s="110">
        <v>1.1719999999999999</v>
      </c>
      <c r="O12" s="110">
        <v>0.17299999999999999</v>
      </c>
      <c r="P12" s="110">
        <v>0.153</v>
      </c>
      <c r="Q12" s="110"/>
      <c r="R12" s="110"/>
      <c r="S12" s="110"/>
      <c r="T12" s="110">
        <v>4.3999999999999997E-2</v>
      </c>
      <c r="U12" s="110"/>
      <c r="V12" s="110">
        <v>8.9800000000000001E-3</v>
      </c>
      <c r="W12" s="110"/>
      <c r="X12" s="110"/>
      <c r="Y12" s="110"/>
      <c r="Z12" s="110"/>
      <c r="AA12" s="110">
        <f>0.407+0.17</f>
        <v>0.57699999999999996</v>
      </c>
      <c r="AB12" s="110"/>
      <c r="AC12" s="110"/>
      <c r="AD12" s="110">
        <v>9.6110000000000001E-2</v>
      </c>
      <c r="AE12" s="110">
        <v>5.1220000000000002E-2</v>
      </c>
      <c r="AF12" s="110"/>
      <c r="AG12" s="110">
        <v>4.0021000000000001E-2</v>
      </c>
      <c r="AH12" s="110">
        <v>1.1659999999999999</v>
      </c>
      <c r="AI12" s="110">
        <v>0.89299799999999996</v>
      </c>
      <c r="AJ12" s="110">
        <v>3.6773E-2</v>
      </c>
      <c r="AK12" s="110">
        <v>0.05</v>
      </c>
      <c r="AL12" s="110"/>
      <c r="AM12" s="110"/>
      <c r="AN12" s="68">
        <f>SUM(B12:AM12)</f>
        <v>20.684712999999999</v>
      </c>
      <c r="AO12" s="84"/>
      <c r="AP12" s="85"/>
    </row>
    <row r="13" spans="1:42" x14ac:dyDescent="0.35">
      <c r="A13" s="2"/>
      <c r="B13" s="64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68"/>
      <c r="AO13" s="84"/>
      <c r="AP13" s="85"/>
    </row>
    <row r="14" spans="1:42" s="57" customFormat="1" x14ac:dyDescent="0.35">
      <c r="A14" s="2" t="s">
        <v>185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110">
        <v>3.5000000000000003E-2</v>
      </c>
      <c r="I14" s="110">
        <v>0.11</v>
      </c>
      <c r="J14" s="110">
        <f>0.012+0.118670033758932</f>
        <v>0.13067003375893199</v>
      </c>
      <c r="K14" s="110"/>
      <c r="L14" s="110"/>
      <c r="M14" s="110"/>
      <c r="N14" s="110"/>
      <c r="O14" s="110"/>
      <c r="P14" s="110">
        <f>0.153+0.0428816262163127</f>
        <v>0.19588162621631269</v>
      </c>
      <c r="Q14" s="110"/>
      <c r="R14" s="110"/>
      <c r="S14" s="110"/>
      <c r="T14" s="110">
        <f>0.028+0.0137483671046489</f>
        <v>4.1748367104648902E-2</v>
      </c>
      <c r="U14" s="110">
        <v>1.5</v>
      </c>
      <c r="V14" s="110"/>
      <c r="W14" s="110">
        <f>0.031528</f>
        <v>3.1528E-2</v>
      </c>
      <c r="X14" s="110"/>
      <c r="Y14" s="110"/>
      <c r="Z14" s="110"/>
      <c r="AA14" s="110"/>
      <c r="AB14" s="110"/>
      <c r="AC14" s="110"/>
      <c r="AD14" s="110">
        <v>0.108684</v>
      </c>
      <c r="AE14" s="110">
        <v>6.1463999999999998E-2</v>
      </c>
      <c r="AF14" s="110"/>
      <c r="AG14" s="110">
        <v>4.0585000000000003E-2</v>
      </c>
      <c r="AH14" s="110"/>
      <c r="AI14" s="110">
        <v>0.29375400000000002</v>
      </c>
      <c r="AJ14" s="110">
        <v>2.4877E-2</v>
      </c>
      <c r="AK14" s="110"/>
      <c r="AL14" s="110"/>
      <c r="AM14" s="110"/>
      <c r="AN14" s="68">
        <f>SUM(B14:AM14)</f>
        <v>2.5741920270798939</v>
      </c>
    </row>
    <row r="15" spans="1:42" x14ac:dyDescent="0.35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68"/>
    </row>
    <row r="16" spans="1:42" s="57" customFormat="1" x14ac:dyDescent="0.35">
      <c r="A16" s="2" t="s">
        <v>23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110">
        <v>0</v>
      </c>
      <c r="I16" s="110">
        <v>0</v>
      </c>
      <c r="J16" s="110">
        <v>3.9E-2</v>
      </c>
      <c r="K16" s="110"/>
      <c r="L16" s="110"/>
      <c r="M16" s="110"/>
      <c r="N16" s="110"/>
      <c r="O16" s="110"/>
      <c r="P16" s="110">
        <v>0.153</v>
      </c>
      <c r="Q16" s="110"/>
      <c r="R16" s="110">
        <v>0.83699999999999997</v>
      </c>
      <c r="S16" s="110"/>
      <c r="T16" s="110">
        <v>3.6999999999999998E-2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110">
        <v>5.8376999999999998E-2</v>
      </c>
      <c r="AE16" s="110">
        <v>5.1220000000000002E-2</v>
      </c>
      <c r="AF16" s="110"/>
      <c r="AG16" s="110">
        <v>2.8760000000000001E-3</v>
      </c>
      <c r="AH16" s="110"/>
      <c r="AI16" s="110">
        <v>0.34824300000000002</v>
      </c>
      <c r="AJ16" s="110"/>
      <c r="AK16" s="110"/>
      <c r="AL16" s="110"/>
      <c r="AM16" s="110"/>
      <c r="AN16" s="68">
        <f>SUM(B16:AM16)</f>
        <v>1.526716</v>
      </c>
    </row>
    <row r="17" spans="1:40" s="57" customFormat="1" x14ac:dyDescent="0.35">
      <c r="A17" s="2"/>
      <c r="B17" s="6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68"/>
    </row>
    <row r="18" spans="1:40" ht="14.65" customHeight="1" x14ac:dyDescent="0.35">
      <c r="A18" s="2" t="s">
        <v>22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0.26295750000000001</v>
      </c>
      <c r="H18" s="110">
        <v>0</v>
      </c>
      <c r="I18" s="110">
        <v>0</v>
      </c>
      <c r="J18" s="110">
        <v>0</v>
      </c>
      <c r="K18" s="110"/>
      <c r="L18" s="110"/>
      <c r="M18" s="110"/>
      <c r="N18" s="110"/>
      <c r="O18" s="110"/>
      <c r="P18" s="110">
        <v>0</v>
      </c>
      <c r="Q18" s="110">
        <f>3.832+0.271704</f>
        <v>4.1037039999999996</v>
      </c>
      <c r="R18" s="110"/>
      <c r="S18" s="110"/>
      <c r="T18" s="110">
        <v>1.2999999999999999E-2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110">
        <v>3.5000000000000003E-2</v>
      </c>
      <c r="AE18" s="110">
        <v>5.5004999999999998E-2</v>
      </c>
      <c r="AF18" s="110"/>
      <c r="AG18" s="110">
        <v>3.2859999999999999E-3</v>
      </c>
      <c r="AH18" s="110"/>
      <c r="AI18" s="110">
        <v>2.2948E-2</v>
      </c>
      <c r="AJ18" s="110"/>
      <c r="AK18" s="110"/>
      <c r="AL18" s="110"/>
      <c r="AM18" s="110"/>
      <c r="AN18" s="68">
        <f>SUM(B18:AM18)</f>
        <v>4.4959005000000003</v>
      </c>
    </row>
    <row r="19" spans="1:40" x14ac:dyDescent="0.35">
      <c r="A19" s="111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68"/>
    </row>
    <row r="20" spans="1:40" x14ac:dyDescent="0.35">
      <c r="A20" s="111" t="s">
        <v>186</v>
      </c>
      <c r="B20" s="64">
        <v>0</v>
      </c>
      <c r="C20" s="64">
        <v>0</v>
      </c>
      <c r="D20" s="64">
        <v>0</v>
      </c>
      <c r="E20" s="64">
        <f>0.356728+0.011823-0.368551</f>
        <v>0</v>
      </c>
      <c r="F20" s="64">
        <v>0</v>
      </c>
      <c r="G20" s="226">
        <f>0.4443075-0.4443075</f>
        <v>0</v>
      </c>
      <c r="H20" s="110">
        <v>0</v>
      </c>
      <c r="I20" s="110">
        <v>4.2453399999999997</v>
      </c>
      <c r="J20" s="110">
        <f>0.423-0.118670033758932</f>
        <v>0.30432996624106801</v>
      </c>
      <c r="K20" s="110"/>
      <c r="L20" s="110"/>
      <c r="M20" s="110"/>
      <c r="N20" s="110"/>
      <c r="O20" s="110"/>
      <c r="P20" s="110">
        <f>0.153-0.0428816262163127</f>
        <v>0.1101183737836873</v>
      </c>
      <c r="Q20" s="110"/>
      <c r="R20" s="110"/>
      <c r="S20" s="110"/>
      <c r="T20" s="110">
        <f>0.049-0.0137483671046489</f>
        <v>3.5251632895351104E-2</v>
      </c>
      <c r="U20" s="110"/>
      <c r="V20" s="110"/>
      <c r="W20" s="110"/>
      <c r="X20" s="110"/>
      <c r="Y20" s="110">
        <v>0.06</v>
      </c>
      <c r="Z20" s="110"/>
      <c r="AA20" s="110"/>
      <c r="AB20" s="110"/>
      <c r="AC20" s="110">
        <v>0.4</v>
      </c>
      <c r="AD20" s="110">
        <v>0.124018</v>
      </c>
      <c r="AE20" s="110">
        <v>5.1220000000000002E-2</v>
      </c>
      <c r="AF20" s="110">
        <v>0.52500000000000002</v>
      </c>
      <c r="AG20" s="110">
        <v>1.3990000000000001E-3</v>
      </c>
      <c r="AH20" s="110"/>
      <c r="AI20" s="110">
        <v>1.142714</v>
      </c>
      <c r="AJ20" s="110"/>
      <c r="AK20" s="110"/>
      <c r="AL20" s="110">
        <v>2.2959999999999998</v>
      </c>
      <c r="AM20" s="110">
        <v>0.45900000000000002</v>
      </c>
      <c r="AN20" s="68">
        <f>SUM(B20:AM20)</f>
        <v>9.7543909729201062</v>
      </c>
    </row>
    <row r="21" spans="1:40" ht="16" thickBot="1" x14ac:dyDescent="0.4">
      <c r="A21" s="7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5"/>
    </row>
    <row r="22" spans="1:40" ht="16" thickBot="1" x14ac:dyDescent="0.4">
      <c r="A22" s="46" t="s">
        <v>0</v>
      </c>
      <c r="B22" s="67">
        <f t="shared" ref="B22:AN22" si="10">+B10+B20+B16+B18+B14+B12+B8</f>
        <v>0.82010499999999997</v>
      </c>
      <c r="C22" s="67">
        <f t="shared" si="10"/>
        <v>0.3135</v>
      </c>
      <c r="D22" s="67">
        <f t="shared" si="10"/>
        <v>0</v>
      </c>
      <c r="E22" s="67">
        <f t="shared" si="10"/>
        <v>0</v>
      </c>
      <c r="F22" s="67">
        <f t="shared" si="10"/>
        <v>0</v>
      </c>
      <c r="G22" s="67">
        <f t="shared" si="10"/>
        <v>0.46244250000000003</v>
      </c>
      <c r="H22" s="164">
        <f t="shared" si="10"/>
        <v>9.0999999999999998E-2</v>
      </c>
      <c r="I22" s="164">
        <f t="shared" si="10"/>
        <v>17.431650000000001</v>
      </c>
      <c r="J22" s="164">
        <f t="shared" si="10"/>
        <v>4.7279999999999998</v>
      </c>
      <c r="K22" s="164">
        <f t="shared" si="10"/>
        <v>9.6000000000000002E-2</v>
      </c>
      <c r="L22" s="164">
        <f t="shared" si="10"/>
        <v>0.31</v>
      </c>
      <c r="M22" s="164">
        <f t="shared" si="10"/>
        <v>0.28000000000000003</v>
      </c>
      <c r="N22" s="164">
        <f t="shared" si="10"/>
        <v>1.1719999999999999</v>
      </c>
      <c r="O22" s="164">
        <f t="shared" si="10"/>
        <v>0.17299999999999999</v>
      </c>
      <c r="P22" s="164">
        <f t="shared" si="10"/>
        <v>1.071</v>
      </c>
      <c r="Q22" s="164">
        <f t="shared" si="10"/>
        <v>4.1037039999999996</v>
      </c>
      <c r="R22" s="164">
        <f t="shared" si="10"/>
        <v>0.83699999999999997</v>
      </c>
      <c r="S22" s="164">
        <f t="shared" si="10"/>
        <v>0.06</v>
      </c>
      <c r="T22" s="164">
        <f t="shared" si="10"/>
        <v>0.29300000000000004</v>
      </c>
      <c r="U22" s="164">
        <f t="shared" si="10"/>
        <v>1.5</v>
      </c>
      <c r="V22" s="164">
        <f t="shared" si="10"/>
        <v>8.9800000000000001E-3</v>
      </c>
      <c r="W22" s="164">
        <f t="shared" si="10"/>
        <v>3.1528E-2</v>
      </c>
      <c r="X22" s="164">
        <f t="shared" si="10"/>
        <v>15.46</v>
      </c>
      <c r="Y22" s="164">
        <f t="shared" si="10"/>
        <v>0.06</v>
      </c>
      <c r="Z22" s="164">
        <f t="shared" si="10"/>
        <v>0.15</v>
      </c>
      <c r="AA22" s="164">
        <f t="shared" si="10"/>
        <v>0.57699999999999996</v>
      </c>
      <c r="AB22" s="164">
        <f t="shared" si="10"/>
        <v>2.4500000000000001E-2</v>
      </c>
      <c r="AC22" s="164">
        <f t="shared" si="10"/>
        <v>0.46400000000000002</v>
      </c>
      <c r="AD22" s="164">
        <f t="shared" si="10"/>
        <v>0.54089000000000009</v>
      </c>
      <c r="AE22" s="164">
        <f t="shared" si="10"/>
        <v>0.38281299999999996</v>
      </c>
      <c r="AF22" s="164">
        <f t="shared" si="10"/>
        <v>0.52500000000000002</v>
      </c>
      <c r="AG22" s="164">
        <f t="shared" si="10"/>
        <v>0.14500099999999999</v>
      </c>
      <c r="AH22" s="164">
        <f t="shared" si="10"/>
        <v>1.1659999999999999</v>
      </c>
      <c r="AI22" s="164">
        <f t="shared" ref="AI22:AL22" si="11">+AI10+AI20+AI16+AI18+AI14+AI12+AI8</f>
        <v>2.974078</v>
      </c>
      <c r="AJ22" s="164">
        <f t="shared" si="11"/>
        <v>0.108158</v>
      </c>
      <c r="AK22" s="164">
        <f t="shared" si="11"/>
        <v>0.05</v>
      </c>
      <c r="AL22" s="164">
        <f t="shared" si="11"/>
        <v>2.2959999999999998</v>
      </c>
      <c r="AM22" s="164">
        <f t="shared" si="10"/>
        <v>0.45900000000000002</v>
      </c>
      <c r="AN22" s="467">
        <f t="shared" si="10"/>
        <v>59.165349499999991</v>
      </c>
    </row>
    <row r="23" spans="1:40" x14ac:dyDescent="0.3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80"/>
    </row>
    <row r="24" spans="1:40" ht="75" customHeight="1" x14ac:dyDescent="0.35">
      <c r="X24" s="282" t="s">
        <v>247</v>
      </c>
      <c r="AH24" s="282"/>
      <c r="AI24" s="282"/>
      <c r="AJ24" s="282"/>
      <c r="AK24" s="282"/>
      <c r="AL24" s="282"/>
      <c r="AM24" s="282"/>
    </row>
    <row r="25" spans="1:40" x14ac:dyDescent="0.35">
      <c r="A25" s="29" t="s">
        <v>92</v>
      </c>
    </row>
  </sheetData>
  <phoneticPr fontId="12" type="noConversion"/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31"/>
  <sheetViews>
    <sheetView zoomScale="60" workbookViewId="0">
      <pane xSplit="1" ySplit="6" topLeftCell="B7" activePane="bottomRight" state="frozen"/>
      <selection activeCell="M5" sqref="M5"/>
      <selection pane="topRight" activeCell="M5" sqref="M5"/>
      <selection pane="bottomLeft" activeCell="M5" sqref="M5"/>
      <selection pane="bottomRight" activeCell="F36" sqref="F35:F36"/>
    </sheetView>
  </sheetViews>
  <sheetFormatPr defaultColWidth="7.07421875" defaultRowHeight="12.5" x14ac:dyDescent="0.25"/>
  <cols>
    <col min="1" max="1" width="50.53515625" style="151" bestFit="1" customWidth="1"/>
    <col min="2" max="2" width="15.765625" style="151" customWidth="1"/>
    <col min="3" max="4" width="7.07421875" style="151"/>
    <col min="5" max="5" width="10.07421875" style="151" bestFit="1" customWidth="1"/>
    <col min="6" max="6" width="14.07421875" style="151" customWidth="1"/>
    <col min="7" max="16384" width="7.07421875" style="151"/>
  </cols>
  <sheetData>
    <row r="1" spans="1:7" ht="15.5" x14ac:dyDescent="0.35">
      <c r="A1" s="150" t="s">
        <v>33</v>
      </c>
    </row>
    <row r="2" spans="1:7" ht="15.5" x14ac:dyDescent="0.35">
      <c r="A2" s="150"/>
    </row>
    <row r="3" spans="1:7" ht="15.5" x14ac:dyDescent="0.35">
      <c r="A3" s="150"/>
    </row>
    <row r="4" spans="1:7" ht="16" thickBot="1" x14ac:dyDescent="0.4">
      <c r="A4" s="150"/>
    </row>
    <row r="5" spans="1:7" ht="15.5" x14ac:dyDescent="0.35">
      <c r="A5" s="274"/>
      <c r="B5" s="466">
        <v>1</v>
      </c>
    </row>
    <row r="6" spans="1:7" ht="103.5" customHeight="1" thickBot="1" x14ac:dyDescent="0.3">
      <c r="A6" s="171"/>
      <c r="B6" s="273" t="s">
        <v>313</v>
      </c>
    </row>
    <row r="7" spans="1:7" ht="15.5" x14ac:dyDescent="0.25">
      <c r="A7" s="172" t="s">
        <v>7</v>
      </c>
      <c r="B7" s="243" t="s">
        <v>15</v>
      </c>
    </row>
    <row r="8" spans="1:7" ht="16.5" customHeight="1" x14ac:dyDescent="0.25">
      <c r="A8" s="172"/>
      <c r="B8" s="244"/>
    </row>
    <row r="9" spans="1:7" ht="15.5" x14ac:dyDescent="0.35">
      <c r="A9" s="173" t="s">
        <v>20</v>
      </c>
      <c r="B9" s="245">
        <v>102.02609108</v>
      </c>
      <c r="E9" s="262"/>
      <c r="F9" s="262"/>
      <c r="G9" s="262"/>
    </row>
    <row r="10" spans="1:7" ht="15.5" x14ac:dyDescent="0.35">
      <c r="A10" s="174"/>
      <c r="B10" s="245"/>
      <c r="E10" s="262"/>
      <c r="F10" s="262"/>
      <c r="G10" s="262"/>
    </row>
    <row r="11" spans="1:7" ht="15.5" x14ac:dyDescent="0.35">
      <c r="A11" s="173" t="s">
        <v>29</v>
      </c>
      <c r="B11" s="245">
        <v>133.83191312</v>
      </c>
      <c r="E11" s="262"/>
      <c r="F11" s="262"/>
      <c r="G11" s="262"/>
    </row>
    <row r="12" spans="1:7" ht="15.5" x14ac:dyDescent="0.35">
      <c r="A12" s="175"/>
      <c r="B12" s="245"/>
      <c r="E12" s="262"/>
      <c r="F12" s="262"/>
      <c r="G12" s="262"/>
    </row>
    <row r="13" spans="1:7" ht="15.5" x14ac:dyDescent="0.35">
      <c r="A13" s="173" t="s">
        <v>21</v>
      </c>
      <c r="B13" s="245">
        <v>75.531960919999975</v>
      </c>
      <c r="E13" s="262"/>
      <c r="F13" s="262"/>
      <c r="G13" s="262"/>
    </row>
    <row r="14" spans="1:7" ht="15.5" x14ac:dyDescent="0.25">
      <c r="A14" s="174"/>
      <c r="B14" s="245"/>
    </row>
    <row r="15" spans="1:7" ht="15.5" x14ac:dyDescent="0.25">
      <c r="A15" s="173" t="s">
        <v>185</v>
      </c>
      <c r="B15" s="245">
        <v>78.842173970520818</v>
      </c>
    </row>
    <row r="16" spans="1:7" ht="15.5" x14ac:dyDescent="0.25">
      <c r="A16" s="173"/>
      <c r="B16" s="245"/>
    </row>
    <row r="17" spans="1:7" ht="15.5" x14ac:dyDescent="0.25">
      <c r="A17" s="173" t="s">
        <v>23</v>
      </c>
      <c r="B17" s="245">
        <v>73.081338520000031</v>
      </c>
      <c r="G17" s="179" t="s">
        <v>7</v>
      </c>
    </row>
    <row r="18" spans="1:7" ht="15.5" x14ac:dyDescent="0.25">
      <c r="A18" s="174"/>
      <c r="B18" s="245"/>
    </row>
    <row r="19" spans="1:7" s="155" customFormat="1" ht="15.5" x14ac:dyDescent="0.3">
      <c r="A19" s="173" t="s">
        <v>22</v>
      </c>
      <c r="B19" s="245">
        <v>34.100808999999998</v>
      </c>
    </row>
    <row r="20" spans="1:7" s="155" customFormat="1" ht="15.5" x14ac:dyDescent="0.3">
      <c r="A20" s="368"/>
      <c r="B20" s="369"/>
    </row>
    <row r="21" spans="1:7" ht="15.5" x14ac:dyDescent="0.35">
      <c r="A21" s="173" t="s">
        <v>186</v>
      </c>
      <c r="B21" s="245">
        <v>65.068777869479192</v>
      </c>
      <c r="E21" s="262"/>
    </row>
    <row r="22" spans="1:7" ht="16" thickBot="1" x14ac:dyDescent="0.4">
      <c r="A22" s="200"/>
      <c r="B22" s="246"/>
    </row>
    <row r="23" spans="1:7" ht="25.5" customHeight="1" thickBot="1" x14ac:dyDescent="0.3">
      <c r="A23" s="176" t="s">
        <v>0</v>
      </c>
      <c r="B23" s="247">
        <f t="shared" ref="B23" si="0">B11+B21+B17+B19+B15+B13+B9</f>
        <v>562.48306447999994</v>
      </c>
    </row>
    <row r="26" spans="1:7" ht="60" customHeight="1" x14ac:dyDescent="0.25"/>
    <row r="31" spans="1:7" ht="30" customHeight="1" x14ac:dyDescent="0.25"/>
  </sheetData>
  <phoneticPr fontId="12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39"/>
  <sheetViews>
    <sheetView zoomScale="65" workbookViewId="0">
      <selection activeCell="E4" sqref="E4"/>
    </sheetView>
  </sheetViews>
  <sheetFormatPr defaultColWidth="8.84375" defaultRowHeight="15.5" x14ac:dyDescent="0.35"/>
  <cols>
    <col min="1" max="1" width="44.23046875" style="62" customWidth="1"/>
    <col min="2" max="3" width="13.765625" style="62" customWidth="1"/>
    <col min="4" max="4" width="17.4609375" style="62" customWidth="1"/>
    <col min="5" max="5" width="15.84375" style="62" customWidth="1"/>
    <col min="6" max="6" width="4.765625" style="62" customWidth="1"/>
    <col min="7" max="16384" width="8.84375" style="62"/>
  </cols>
  <sheetData>
    <row r="1" spans="1:8" x14ac:dyDescent="0.35">
      <c r="A1" s="57" t="s">
        <v>34</v>
      </c>
      <c r="B1" s="57"/>
      <c r="C1" s="57"/>
      <c r="D1" s="57"/>
      <c r="E1" s="57"/>
    </row>
    <row r="2" spans="1:8" ht="16" thickBot="1" x14ac:dyDescent="0.4"/>
    <row r="3" spans="1:8" x14ac:dyDescent="0.35">
      <c r="A3" s="276"/>
      <c r="B3" s="451">
        <v>1</v>
      </c>
      <c r="C3" s="453">
        <v>2</v>
      </c>
      <c r="D3" s="453">
        <v>3</v>
      </c>
      <c r="E3" s="452">
        <v>4</v>
      </c>
    </row>
    <row r="4" spans="1:8" s="156" customFormat="1" ht="171" customHeight="1" thickBot="1" x14ac:dyDescent="0.4">
      <c r="A4" s="275"/>
      <c r="B4" s="377" t="s">
        <v>219</v>
      </c>
      <c r="C4" s="94" t="s">
        <v>310</v>
      </c>
      <c r="D4" s="94" t="s">
        <v>235</v>
      </c>
      <c r="E4" s="390" t="s">
        <v>236</v>
      </c>
    </row>
    <row r="5" spans="1:8" s="156" customFormat="1" ht="16.5" customHeight="1" x14ac:dyDescent="0.35">
      <c r="A5" s="157"/>
      <c r="B5" s="378" t="s">
        <v>15</v>
      </c>
      <c r="C5" s="464" t="s">
        <v>15</v>
      </c>
      <c r="D5" s="464" t="s">
        <v>15</v>
      </c>
      <c r="E5" s="454" t="s">
        <v>15</v>
      </c>
    </row>
    <row r="6" spans="1:8" s="156" customFormat="1" ht="15" customHeight="1" x14ac:dyDescent="0.35">
      <c r="A6" s="161"/>
      <c r="B6" s="264"/>
      <c r="C6" s="286"/>
      <c r="D6" s="286"/>
      <c r="E6" s="391"/>
    </row>
    <row r="7" spans="1:8" s="57" customFormat="1" ht="13.5" customHeight="1" x14ac:dyDescent="0.35">
      <c r="A7" s="152" t="s">
        <v>20</v>
      </c>
      <c r="B7" s="379">
        <v>32.265000000000001</v>
      </c>
      <c r="C7" s="457"/>
      <c r="D7" s="457">
        <v>0.56599999999999995</v>
      </c>
      <c r="E7" s="392">
        <f>SUM(B7:D7)</f>
        <v>32.831000000000003</v>
      </c>
      <c r="G7" s="158"/>
      <c r="H7" s="158"/>
    </row>
    <row r="8" spans="1:8" ht="13.5" customHeight="1" x14ac:dyDescent="0.35">
      <c r="A8" s="153"/>
      <c r="B8" s="380"/>
      <c r="C8" s="458"/>
      <c r="D8" s="458"/>
      <c r="E8" s="393"/>
      <c r="G8" s="159"/>
    </row>
    <row r="9" spans="1:8" s="57" customFormat="1" ht="15.75" customHeight="1" x14ac:dyDescent="0.35">
      <c r="A9" s="152" t="s">
        <v>29</v>
      </c>
      <c r="B9" s="381">
        <v>34.457000000000001</v>
      </c>
      <c r="C9" s="459"/>
      <c r="D9" s="459">
        <v>0.65900000000000003</v>
      </c>
      <c r="E9" s="392">
        <f>SUM(B9:D9)</f>
        <v>35.116</v>
      </c>
      <c r="G9" s="158"/>
      <c r="H9" s="158"/>
    </row>
    <row r="10" spans="1:8" s="57" customFormat="1" ht="15.75" customHeight="1" x14ac:dyDescent="0.35">
      <c r="A10" s="154"/>
      <c r="B10" s="381"/>
      <c r="C10" s="459"/>
      <c r="D10" s="459"/>
      <c r="E10" s="394"/>
      <c r="G10" s="158"/>
      <c r="H10" s="158"/>
    </row>
    <row r="11" spans="1:8" s="57" customFormat="1" ht="13.5" customHeight="1" x14ac:dyDescent="0.35">
      <c r="A11" s="152" t="s">
        <v>21</v>
      </c>
      <c r="B11" s="381">
        <v>22.859000000000002</v>
      </c>
      <c r="C11" s="459">
        <v>0.05</v>
      </c>
      <c r="D11" s="459">
        <v>0.39400000000000002</v>
      </c>
      <c r="E11" s="392">
        <f>SUM(B11:D11)</f>
        <v>23.303000000000001</v>
      </c>
      <c r="G11" s="158"/>
      <c r="H11" s="158"/>
    </row>
    <row r="12" spans="1:8" ht="13.5" customHeight="1" x14ac:dyDescent="0.35">
      <c r="A12" s="153"/>
      <c r="B12" s="380"/>
      <c r="C12" s="458"/>
      <c r="D12" s="458"/>
      <c r="E12" s="393"/>
      <c r="G12" s="159"/>
    </row>
    <row r="13" spans="1:8" s="57" customFormat="1" ht="13.5" customHeight="1" x14ac:dyDescent="0.35">
      <c r="A13" s="152" t="s">
        <v>185</v>
      </c>
      <c r="B13" s="381">
        <v>27.602162706900003</v>
      </c>
      <c r="C13" s="459"/>
      <c r="D13" s="459">
        <v>0.45</v>
      </c>
      <c r="E13" s="392">
        <f>SUM(B13:D13)</f>
        <v>28.052162706900003</v>
      </c>
      <c r="G13" s="158"/>
      <c r="H13" s="158"/>
    </row>
    <row r="14" spans="1:8" ht="13.5" customHeight="1" x14ac:dyDescent="0.35">
      <c r="A14" s="152"/>
      <c r="B14" s="382"/>
      <c r="C14" s="460"/>
      <c r="D14" s="460"/>
      <c r="E14" s="395"/>
      <c r="G14" s="159"/>
    </row>
    <row r="15" spans="1:8" s="57" customFormat="1" ht="13.5" customHeight="1" x14ac:dyDescent="0.35">
      <c r="A15" s="152" t="s">
        <v>23</v>
      </c>
      <c r="B15" s="383">
        <v>21.496000000000002</v>
      </c>
      <c r="C15" s="461"/>
      <c r="D15" s="461">
        <v>0.373</v>
      </c>
      <c r="E15" s="392">
        <f>SUM(B15:D15)</f>
        <v>21.869000000000003</v>
      </c>
      <c r="G15" s="158"/>
      <c r="H15" s="158"/>
    </row>
    <row r="16" spans="1:8" ht="13.5" customHeight="1" x14ac:dyDescent="0.35">
      <c r="A16" s="153"/>
      <c r="B16" s="382"/>
      <c r="C16" s="460"/>
      <c r="D16" s="460"/>
      <c r="E16" s="395"/>
      <c r="G16" s="159"/>
    </row>
    <row r="17" spans="1:8" s="57" customFormat="1" ht="14.25" customHeight="1" x14ac:dyDescent="0.35">
      <c r="A17" s="201" t="s">
        <v>22</v>
      </c>
      <c r="B17" s="383">
        <v>4.923</v>
      </c>
      <c r="C17" s="461"/>
      <c r="D17" s="461">
        <v>0.123</v>
      </c>
      <c r="E17" s="392">
        <f>SUM(B17:D17)</f>
        <v>5.0460000000000003</v>
      </c>
      <c r="G17" s="158"/>
      <c r="H17" s="158"/>
    </row>
    <row r="18" spans="1:8" s="57" customFormat="1" ht="14.25" customHeight="1" x14ac:dyDescent="0.35">
      <c r="A18" s="370"/>
      <c r="B18" s="384"/>
      <c r="C18" s="462"/>
      <c r="D18" s="462"/>
      <c r="E18" s="396"/>
      <c r="G18" s="158"/>
      <c r="H18" s="158"/>
    </row>
    <row r="19" spans="1:8" s="57" customFormat="1" ht="13.5" customHeight="1" x14ac:dyDescent="0.35">
      <c r="A19" s="152" t="s">
        <v>187</v>
      </c>
      <c r="B19" s="381">
        <v>21.481837293100003</v>
      </c>
      <c r="C19" s="459"/>
      <c r="D19" s="459">
        <v>0.38500000000000001</v>
      </c>
      <c r="E19" s="392">
        <f>SUM(B19:D19)</f>
        <v>21.866837293100005</v>
      </c>
      <c r="G19" s="158"/>
      <c r="H19" s="158"/>
    </row>
    <row r="20" spans="1:8" ht="13.5" customHeight="1" thickBot="1" x14ac:dyDescent="0.4">
      <c r="A20" s="202"/>
      <c r="B20" s="463"/>
      <c r="C20" s="465"/>
      <c r="D20" s="465"/>
      <c r="E20" s="455"/>
      <c r="G20" s="159"/>
    </row>
    <row r="21" spans="1:8" s="57" customFormat="1" ht="16" thickBot="1" x14ac:dyDescent="0.4">
      <c r="A21" s="160" t="s">
        <v>0</v>
      </c>
      <c r="B21" s="290">
        <f>B7+B11+B13+B17+B15+B19+B9</f>
        <v>165.084</v>
      </c>
      <c r="C21" s="290">
        <f>C7+C11+C13+C17+C15+C19+C9</f>
        <v>0.05</v>
      </c>
      <c r="D21" s="290">
        <f>D7+D11+D13+D17+D15+D19+D9</f>
        <v>2.95</v>
      </c>
      <c r="E21" s="456">
        <f>E7+E11+E13+E17+E15+E19+E9</f>
        <v>168.084</v>
      </c>
      <c r="G21" s="158"/>
      <c r="H21" s="158"/>
    </row>
    <row r="23" spans="1:8" x14ac:dyDescent="0.35">
      <c r="B23" s="282"/>
      <c r="C23" s="282"/>
      <c r="D23" s="282"/>
      <c r="E23" s="282"/>
    </row>
    <row r="39" spans="4:4" x14ac:dyDescent="0.35">
      <c r="D39" s="62" t="s">
        <v>309</v>
      </c>
    </row>
  </sheetData>
  <phoneticPr fontId="12" type="noConversion"/>
  <pageMargins left="0.78740157480314965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A36820549</value>
    </field>
    <field name="Objective-Title">
      <value order="0">2022-23 Health Board  Allocation  -  FINAL TABLES TO ISSUE</value>
    </field>
    <field name="Objective-Description">
      <value order="0"/>
    </field>
    <field name="Objective-CreationStamp">
      <value order="0">2021-10-07T11:52:28Z</value>
    </field>
    <field name="Objective-IsApproved">
      <value order="0">false</value>
    </field>
    <field name="Objective-IsPublished">
      <value order="0">true</value>
    </field>
    <field name="Objective-DatePublished">
      <value order="0">2021-12-20T10:02:54Z</value>
    </field>
    <field name="Objective-ModificationStamp">
      <value order="0">2021-12-20T10:02:54Z</value>
    </field>
    <field name="Objective-Owner">
      <value order="0">Broughton, Julie (HSS - Finance)</value>
    </field>
    <field name="Objective-Path">
      <value order="0">Objective Global Folder:Business File Plan:Health &amp; Social Services (HSS):Health &amp; Social Services (HSS) - FD - Finance:1 - Save:Management Accounts Team:Budget Monitoring:Budget Holder Information:2022/2023:FY2022-2023 - HSS Finance - Financial Planning &amp; Management - Health Board Revenue Allocation - 2022-2023:HB Allocation MA/EM/4258/21</value>
    </field>
    <field name="Objective-Parent">
      <value order="0">HB Allocation MA/EM/4258/21</value>
    </field>
    <field name="Objective-State">
      <value order="0">Published</value>
    </field>
    <field name="Objective-VersionId">
      <value order="0">vA73828678</value>
    </field>
    <field name="Objective-Version">
      <value order="0">27.0</value>
    </field>
    <field name="Objective-VersionNumber">
      <value order="0">28</value>
    </field>
    <field name="Objective-VersionComment">
      <value order="0"/>
    </field>
    <field name="Objective-FileNumber">
      <value order="0">qA1494921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2021-10-07T00:00:00Z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3" ma:contentTypeDescription="Create a new document." ma:contentTypeScope="" ma:versionID="c726560bae06bcdc007923056687ad42">
  <xsd:schema xmlns:xsd="http://www.w3.org/2001/XMLSchema" xmlns:xs="http://www.w3.org/2001/XMLSchema" xmlns:p="http://schemas.microsoft.com/office/2006/metadata/properties" xmlns:ns3="ef277e87-290d-49c5-91d0-3912be04ccbd" xmlns:ns4="93868ba0-4f09-432e-b4a8-1e7798b1a206" targetNamespace="http://schemas.microsoft.com/office/2006/metadata/properties" ma:root="true" ma:fieldsID="255640115087697fe9d2d602247d61eb" ns3:_="" ns4:_="">
    <xsd:import namespace="ef277e87-290d-49c5-91d0-3912be04ccbd"/>
    <xsd:import namespace="93868ba0-4f09-432e-b4a8-1e7798b1a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68ba0-4f09-432e-b4a8-1e7798b1a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34265822-9F3B-49F8-B1AC-D0591CB93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93868ba0-4f09-432e-b4a8-1e7798b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79A93-01AC-4327-A1FE-0AC815FB96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A12922-D1DA-48E8-978D-4032297E41B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93868ba0-4f09-432e-b4a8-1e7798b1a206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Contents</vt:lpstr>
      <vt:lpstr>Summary Revenue</vt:lpstr>
      <vt:lpstr>A1</vt:lpstr>
      <vt:lpstr>A2</vt:lpstr>
      <vt:lpstr>A3</vt:lpstr>
      <vt:lpstr>B1</vt:lpstr>
      <vt:lpstr>B2</vt:lpstr>
      <vt:lpstr>C</vt:lpstr>
      <vt:lpstr>E</vt:lpstr>
      <vt:lpstr>F</vt:lpstr>
      <vt:lpstr>Table 1</vt:lpstr>
      <vt:lpstr>Table 2</vt:lpstr>
      <vt:lpstr>Table 3</vt:lpstr>
      <vt:lpstr>Table 4</vt:lpstr>
      <vt:lpstr>Table 5</vt:lpstr>
      <vt:lpstr>'A1'!Print_Area</vt:lpstr>
      <vt:lpstr>'A2'!Print_Area</vt:lpstr>
      <vt:lpstr>'A3'!Print_Area</vt:lpstr>
      <vt:lpstr>'B1'!Print_Area</vt:lpstr>
      <vt:lpstr>'B2'!Print_Area</vt:lpstr>
      <vt:lpstr>'C'!Print_Area</vt:lpstr>
      <vt:lpstr>E!Print_Area</vt:lpstr>
      <vt:lpstr>F!Print_Area</vt:lpstr>
      <vt:lpstr>'Summary Revenue'!Print_Area</vt:lpstr>
      <vt:lpstr>'Table 1'!Print_Area</vt:lpstr>
      <vt:lpstr>'Table 2'!Print_Area</vt:lpstr>
      <vt:lpstr>'Table 3'!Print_Area</vt:lpstr>
      <vt:lpstr>'Table 4'!Print_Area</vt:lpstr>
      <vt:lpstr>'Table 5'!Print_Area</vt:lpstr>
    </vt:vector>
  </TitlesOfParts>
  <Company>National Assembly for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Morris</dc:creator>
  <cp:lastModifiedBy>Cahalane, Claudia (HSS - Communications)</cp:lastModifiedBy>
  <cp:lastPrinted>2021-12-13T15:41:07Z</cp:lastPrinted>
  <dcterms:created xsi:type="dcterms:W3CDTF">2002-12-04T11:47:40Z</dcterms:created>
  <dcterms:modified xsi:type="dcterms:W3CDTF">2022-02-09T13:35:54Z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A36820549</vt:lpwstr>
  </property>
  <property fmtid="{D5CDD505-2E9C-101B-9397-08002B2CF9AE}" pid="3" name="Objective-Title">
    <vt:lpwstr>2022-23 Health Board  Allocation  -  FINAL TABLES TO ISSUE</vt:lpwstr>
  </property>
  <property fmtid="{D5CDD505-2E9C-101B-9397-08002B2CF9AE}" pid="4" name="Objective-Comment">
    <vt:lpwstr/>
  </property>
  <property fmtid="{D5CDD505-2E9C-101B-9397-08002B2CF9AE}" pid="5" name="Objective-CreationStamp">
    <vt:filetime>2021-10-07T11:52:38Z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2021-12-20T10:02:54Z</vt:filetime>
  </property>
  <property fmtid="{D5CDD505-2E9C-101B-9397-08002B2CF9AE}" pid="9" name="Objective-ModificationStamp">
    <vt:filetime>2021-12-20T10:02:54Z</vt:filetime>
  </property>
  <property fmtid="{D5CDD505-2E9C-101B-9397-08002B2CF9AE}" pid="10" name="Objective-Owner">
    <vt:lpwstr>Broughton, Julie (HSS - Finance)</vt:lpwstr>
  </property>
  <property fmtid="{D5CDD505-2E9C-101B-9397-08002B2CF9AE}" pid="11" name="Objective-Path">
    <vt:lpwstr>Objective Global Folder:Business File Plan:Health &amp; Social Services (HSS):Health &amp; Social Services (HSS) - FD - Finance:1 - Save:Management Accounts Team:Budget Monitoring:Budget Holder Information:2022/2023:FY2022-2023 - HSS Finance - Financial Planning </vt:lpwstr>
  </property>
  <property fmtid="{D5CDD505-2E9C-101B-9397-08002B2CF9AE}" pid="12" name="Objective-Parent">
    <vt:lpwstr>HB Allocation MA/EM/4258/21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27.0</vt:lpwstr>
  </property>
  <property fmtid="{D5CDD505-2E9C-101B-9397-08002B2CF9AE}" pid="15" name="Objective-VersionNumber">
    <vt:r8>28</vt:r8>
  </property>
  <property fmtid="{D5CDD505-2E9C-101B-9397-08002B2CF9AE}" pid="16" name="Objective-VersionComment">
    <vt:lpwstr/>
  </property>
  <property fmtid="{D5CDD505-2E9C-101B-9397-08002B2CF9AE}" pid="17" name="Objective-FileNumber">
    <vt:lpwstr>qA1494921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2019-01-02T23:00:00Z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Language">
    <vt:lpwstr>English (eng)</vt:lpwstr>
  </property>
  <property fmtid="{D5CDD505-2E9C-101B-9397-08002B2CF9AE}" pid="26" name="Objective-Date Acquired">
    <vt:filetime>2021-10-07T00:00:00Z</vt:filetime>
  </property>
  <property fmtid="{D5CDD505-2E9C-101B-9397-08002B2CF9AE}" pid="27" name="Objective-What to Keep">
    <vt:lpwstr>No</vt:lpwstr>
  </property>
  <property fmtid="{D5CDD505-2E9C-101B-9397-08002B2CF9AE}" pid="28" name="Objective-Official Translation">
    <vt:lpwstr/>
  </property>
  <property fmtid="{D5CDD505-2E9C-101B-9397-08002B2CF9AE}" pid="29" name="Objective-Connect Creator">
    <vt:lpwstr/>
  </property>
  <property fmtid="{D5CDD505-2E9C-101B-9397-08002B2CF9AE}" pid="30" name="Objective-Description">
    <vt:lpwstr/>
  </property>
  <property fmtid="{D5CDD505-2E9C-101B-9397-08002B2CF9AE}" pid="31" name="Objective-VersionId">
    <vt:lpwstr>vA73828678</vt:lpwstr>
  </property>
  <property fmtid="{D5CDD505-2E9C-101B-9397-08002B2CF9AE}" pid="32" name="ContentTypeId">
    <vt:lpwstr>0x010100739205D88DC4F44CB1CA8437F92B0221</vt:lpwstr>
  </property>
</Properties>
</file>