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375" windowWidth="14955" windowHeight="8445" firstSheet="1" activeTab="2"/>
  </bookViews>
  <sheets>
    <sheet name="Completed Sample Template" sheetId="6" state="hidden" r:id="rId1"/>
    <sheet name="Guidance" sheetId="7" r:id="rId2"/>
    <sheet name="Template" sheetId="2" r:id="rId3"/>
    <sheet name="Assumption Data" sheetId="5" r:id="rId4"/>
  </sheets>
  <calcPr calcId="162913"/>
</workbook>
</file>

<file path=xl/calcChain.xml><?xml version="1.0" encoding="utf-8"?>
<calcChain xmlns="http://schemas.openxmlformats.org/spreadsheetml/2006/main">
  <c r="E40" i="5" l="1"/>
  <c r="E41" i="5" s="1"/>
  <c r="D40" i="5"/>
  <c r="D41" i="5" s="1"/>
  <c r="H33" i="5"/>
  <c r="I33" i="5" s="1"/>
  <c r="H32" i="5"/>
  <c r="I32" i="5" s="1"/>
  <c r="D12" i="2"/>
  <c r="D34" i="2" l="1"/>
  <c r="D35" i="2"/>
  <c r="L26" i="5"/>
  <c r="L25" i="5"/>
  <c r="L24" i="5"/>
  <c r="L23" i="5"/>
  <c r="L22" i="5"/>
  <c r="D36" i="6"/>
  <c r="K26" i="5"/>
  <c r="D36" i="2"/>
  <c r="K23" i="5"/>
  <c r="K22" i="5"/>
  <c r="K21" i="5"/>
  <c r="J21" i="5"/>
  <c r="H14" i="5" l="1"/>
  <c r="J26" i="5" s="1"/>
  <c r="G14" i="5"/>
  <c r="J25" i="5" s="1"/>
  <c r="F14" i="5"/>
  <c r="J24" i="5" s="1"/>
  <c r="E14" i="5"/>
  <c r="J23" i="5" s="1"/>
  <c r="D14" i="5"/>
  <c r="J22" i="5" s="1"/>
  <c r="D38" i="2" l="1"/>
  <c r="D38" i="6"/>
  <c r="D35" i="6"/>
  <c r="D63" i="6" l="1"/>
  <c r="D64" i="6" s="1"/>
  <c r="D13" i="6" s="1"/>
  <c r="D14" i="6" s="1"/>
  <c r="D60" i="6"/>
  <c r="G36" i="6"/>
  <c r="D50" i="6" s="1"/>
  <c r="E25" i="6"/>
  <c r="E23" i="6"/>
  <c r="D12" i="6"/>
  <c r="D11" i="6"/>
  <c r="G35" i="6" l="1"/>
  <c r="I21" i="5" l="1"/>
  <c r="H21" i="5"/>
  <c r="G21" i="5"/>
  <c r="F21" i="5"/>
  <c r="E21" i="5"/>
  <c r="F9" i="5"/>
  <c r="F10" i="5"/>
  <c r="F6" i="5"/>
  <c r="F7" i="5"/>
  <c r="F8" i="5"/>
  <c r="F24" i="5" l="1"/>
  <c r="C41" i="2" s="1"/>
  <c r="G7" i="5"/>
  <c r="F25" i="5" s="1"/>
  <c r="I24" i="5"/>
  <c r="G10" i="5"/>
  <c r="I25" i="5" s="1"/>
  <c r="G24" i="5"/>
  <c r="C42" i="2" s="1"/>
  <c r="G8" i="5"/>
  <c r="G25" i="5" s="1"/>
  <c r="H24" i="5"/>
  <c r="G9" i="5"/>
  <c r="H25" i="5" s="1"/>
  <c r="E24" i="5"/>
  <c r="G6" i="5"/>
  <c r="I22" i="5"/>
  <c r="F23" i="5"/>
  <c r="G22" i="5"/>
  <c r="E22" i="5"/>
  <c r="H23" i="5"/>
  <c r="E23" i="5"/>
  <c r="F22" i="5"/>
  <c r="I23" i="5"/>
  <c r="H22" i="5"/>
  <c r="G23" i="5"/>
  <c r="C43" i="2" l="1"/>
  <c r="C43" i="6"/>
  <c r="H9" i="5"/>
  <c r="H26" i="5" s="1"/>
  <c r="H8" i="5"/>
  <c r="H10" i="5"/>
  <c r="I26" i="5" s="1"/>
  <c r="H6" i="5"/>
  <c r="E26" i="5" s="1"/>
  <c r="E25" i="5"/>
  <c r="H7" i="5"/>
  <c r="C41" i="6"/>
  <c r="C42" i="6"/>
  <c r="D60" i="2"/>
  <c r="D63" i="2" s="1"/>
  <c r="D64" i="2" s="1"/>
  <c r="D13" i="2" s="1"/>
  <c r="E23" i="2"/>
  <c r="G36" i="2"/>
  <c r="D50" i="2" s="1"/>
  <c r="G35" i="2"/>
  <c r="E25" i="2"/>
  <c r="D11" i="2"/>
  <c r="G26" i="5" l="1"/>
  <c r="F26" i="5"/>
  <c r="D45" i="2"/>
  <c r="D51" i="2" s="1"/>
  <c r="D53" i="2" s="1"/>
  <c r="D54" i="2" s="1"/>
  <c r="D9" i="2" s="1"/>
  <c r="D45" i="6"/>
  <c r="D51" i="6" s="1"/>
  <c r="D53" i="6" s="1"/>
  <c r="D54" i="6" s="1"/>
  <c r="D14" i="2"/>
  <c r="D55" i="6" l="1"/>
  <c r="E53" i="6" s="1"/>
  <c r="D9" i="6"/>
  <c r="D16" i="6" s="1"/>
  <c r="D55" i="2"/>
  <c r="E54" i="2" s="1"/>
  <c r="D16" i="2"/>
  <c r="E54" i="6" l="1"/>
  <c r="E53" i="2"/>
</calcChain>
</file>

<file path=xl/sharedStrings.xml><?xml version="1.0" encoding="utf-8"?>
<sst xmlns="http://schemas.openxmlformats.org/spreadsheetml/2006/main" count="143" uniqueCount="86">
  <si>
    <t>Rental growth</t>
  </si>
  <si>
    <t>Interest rate</t>
  </si>
  <si>
    <t>Scheme Costs</t>
  </si>
  <si>
    <t>Economic Assumptions</t>
  </si>
  <si>
    <t>Cost Factor</t>
  </si>
  <si>
    <t>Income factor</t>
  </si>
  <si>
    <t>Management costs</t>
  </si>
  <si>
    <t>Major repairs</t>
  </si>
  <si>
    <t>per week</t>
  </si>
  <si>
    <t>State Aid test</t>
  </si>
  <si>
    <t>Value of guarantee</t>
  </si>
  <si>
    <t>CPI</t>
  </si>
  <si>
    <t>Assumptions</t>
  </si>
  <si>
    <t>Number of houses</t>
  </si>
  <si>
    <t>Project details</t>
  </si>
  <si>
    <t>Discounted income (per house)</t>
  </si>
  <si>
    <t>Discounted cost (per house</t>
  </si>
  <si>
    <t>Private Finance requirement</t>
  </si>
  <si>
    <t>Project duration</t>
  </si>
  <si>
    <t>Interest rate differential</t>
  </si>
  <si>
    <t>Annual interest saving</t>
  </si>
  <si>
    <t>Total subsidy</t>
  </si>
  <si>
    <t>real terms (value of guarantee)</t>
  </si>
  <si>
    <t>Over Compensation Limit</t>
  </si>
  <si>
    <t>Over compensation limit</t>
  </si>
  <si>
    <t>Over compensation ?</t>
  </si>
  <si>
    <t>Discounted surplus (total)</t>
  </si>
  <si>
    <t>Total project costs</t>
  </si>
  <si>
    <t>MR</t>
  </si>
  <si>
    <t>per house</t>
  </si>
  <si>
    <t>RSL:</t>
  </si>
  <si>
    <t>Other Public Subsidy</t>
  </si>
  <si>
    <t>Project:</t>
  </si>
  <si>
    <t>Value of any guarantee</t>
  </si>
  <si>
    <t>Average rent on completion</t>
  </si>
  <si>
    <t>Year (select from list)</t>
  </si>
  <si>
    <t>Council:</t>
  </si>
  <si>
    <t>TRS No:</t>
  </si>
  <si>
    <t>Approval date:</t>
  </si>
  <si>
    <t>Actual CPI</t>
  </si>
  <si>
    <t>Effective Interest Rates</t>
  </si>
  <si>
    <t>LSVTs</t>
  </si>
  <si>
    <t>Total operating cost</t>
  </si>
  <si>
    <t>Reactive costs</t>
  </si>
  <si>
    <t>Bad debt costs</t>
  </si>
  <si>
    <t>Operating</t>
  </si>
  <si>
    <t>Management</t>
  </si>
  <si>
    <t>Reactive</t>
  </si>
  <si>
    <t>Bad Debt</t>
  </si>
  <si>
    <t>WG  Subsidy</t>
  </si>
  <si>
    <t>Void %</t>
  </si>
  <si>
    <t>Average rent growth</t>
  </si>
  <si>
    <t>Lalaland</t>
  </si>
  <si>
    <t>Home Providers</t>
  </si>
  <si>
    <t>WG subsidy</t>
  </si>
  <si>
    <t>CPI based on OBR March 2017</t>
  </si>
  <si>
    <t>Voids &amp; bad debts percentage</t>
  </si>
  <si>
    <t xml:space="preserve">Year </t>
  </si>
  <si>
    <t>Management and Maintenance Uplifts from 2016</t>
  </si>
  <si>
    <t>Bad Debt %</t>
  </si>
  <si>
    <t>Void &amp; Bad Debt %</t>
  </si>
  <si>
    <t>Figures taken directly from global accounts</t>
  </si>
  <si>
    <t>Type of RSL</t>
  </si>
  <si>
    <t>Traditional</t>
  </si>
  <si>
    <t>RSL</t>
  </si>
  <si>
    <t>CPI + 1% for 2021 figure</t>
  </si>
  <si>
    <t xml:space="preserve"> </t>
  </si>
  <si>
    <t>LSVT</t>
  </si>
  <si>
    <t>Guidance for Completion of Overcompensation Template</t>
  </si>
  <si>
    <r>
      <t>Only the blue fields need to be completed.</t>
    </r>
    <r>
      <rPr>
        <sz val="10"/>
        <rFont val="Arial"/>
        <family val="2"/>
      </rPr>
      <t xml:space="preserve"> Other fields populate automatically based on the information in the blue fields.</t>
    </r>
  </si>
  <si>
    <t>State Aid Test</t>
  </si>
  <si>
    <t>Do not add any information to this section</t>
  </si>
  <si>
    <t>Project Details</t>
  </si>
  <si>
    <r>
      <t xml:space="preserve">Please complete all required </t>
    </r>
    <r>
      <rPr>
        <b/>
        <u/>
        <sz val="10"/>
        <rFont val="Arial"/>
        <family val="2"/>
      </rPr>
      <t>blue</t>
    </r>
    <r>
      <rPr>
        <sz val="10"/>
        <rFont val="Arial"/>
        <family val="2"/>
      </rPr>
      <t xml:space="preserve"> fields ONLY.</t>
    </r>
  </si>
  <si>
    <r>
      <rPr>
        <b/>
        <sz val="10"/>
        <rFont val="Arial"/>
        <family val="2"/>
      </rPr>
      <t>Scheme Costs -</t>
    </r>
    <r>
      <rPr>
        <sz val="10"/>
        <rFont val="Arial"/>
        <family val="2"/>
      </rPr>
      <t xml:space="preserve"> this should be the total cost of developing the scheme</t>
    </r>
  </si>
  <si>
    <r>
      <rPr>
        <b/>
        <sz val="10"/>
        <rFont val="Arial"/>
        <family val="2"/>
      </rPr>
      <t>WG Subsidy -</t>
    </r>
    <r>
      <rPr>
        <sz val="10"/>
        <rFont val="Arial"/>
        <family val="2"/>
      </rPr>
      <t xml:space="preserve"> this is the total grant received from Welsh Government. If you receive grant from more than one scheme the total of all grant should be included here. This should include the value of any free land. For HFG - the capital equivalent value should be input e.g. the grant you would be awarded in capital terms.</t>
    </r>
  </si>
  <si>
    <r>
      <rPr>
        <b/>
        <sz val="10"/>
        <rFont val="Arial"/>
        <family val="2"/>
      </rPr>
      <t>Other Public Subsidy -</t>
    </r>
    <r>
      <rPr>
        <sz val="10"/>
        <rFont val="Arial"/>
        <family val="2"/>
      </rPr>
      <t xml:space="preserve"> this is the total subsidy received from other public sector bodies - eg local authorities. This should include the value of any free lands</t>
    </r>
  </si>
  <si>
    <r>
      <rPr>
        <b/>
        <sz val="10"/>
        <rFont val="Arial"/>
        <family val="2"/>
      </rPr>
      <t>Average rent on completion -</t>
    </r>
    <r>
      <rPr>
        <sz val="10"/>
        <rFont val="Arial"/>
        <family val="2"/>
      </rPr>
      <t xml:space="preserve"> please include the projected weekly rent for the property on completion</t>
    </r>
  </si>
  <si>
    <r>
      <rPr>
        <b/>
        <sz val="10"/>
        <rFont val="Arial"/>
        <family val="2"/>
      </rPr>
      <t xml:space="preserve">Year - </t>
    </r>
    <r>
      <rPr>
        <sz val="10"/>
        <rFont val="Arial"/>
        <family val="2"/>
      </rPr>
      <t>please select the current</t>
    </r>
    <r>
      <rPr>
        <b/>
        <sz val="10"/>
        <rFont val="Arial"/>
        <family val="2"/>
      </rPr>
      <t xml:space="preserve"> </t>
    </r>
    <r>
      <rPr>
        <b/>
        <sz val="10"/>
        <color rgb="FFFF0000"/>
        <rFont val="Arial"/>
        <family val="2"/>
      </rPr>
      <t>CALENDAR</t>
    </r>
    <r>
      <rPr>
        <sz val="10"/>
        <rFont val="Arial"/>
        <family val="2"/>
      </rPr>
      <t xml:space="preserve"> year</t>
    </r>
  </si>
  <si>
    <r>
      <rPr>
        <b/>
        <sz val="10"/>
        <rFont val="Arial"/>
        <family val="2"/>
      </rPr>
      <t xml:space="preserve">Project Duration - </t>
    </r>
    <r>
      <rPr>
        <sz val="10"/>
        <rFont val="Arial"/>
        <family val="2"/>
      </rPr>
      <t>this should not be changed</t>
    </r>
  </si>
  <si>
    <t>Value of any Guarantee</t>
  </si>
  <si>
    <t xml:space="preserve">Rent growth to be used for model </t>
  </si>
  <si>
    <t xml:space="preserve"> Rent Growth for model</t>
  </si>
  <si>
    <t>Appendix 9 - SGEI Pro-forma</t>
  </si>
  <si>
    <t xml:space="preserve">Interest Rate Differential - please insert the % difference between the interest rate received on any UK government or other public sector body guaranteed finance and the market rate. </t>
  </si>
  <si>
    <t>WG Reference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</si>
</sst>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Red]\-&quot;£&quot;#,##0.00"/>
    <numFmt numFmtId="43" formatCode="_-* #,##0.00_-;\-* #,##0.00_-;_-* &quot;-&quot;??_-;_-@_-"/>
    <numFmt numFmtId="164" formatCode="_-* #,##0_-;\-* #,##0_-;_-* &quot;-&quot;??_-;_-@_-"/>
    <numFmt numFmtId="165" formatCode="#,##0.0000"/>
    <numFmt numFmtId="166" formatCode="_-* #,##0.0_-;\-* #,##0.0_-;_-* &quot;-&quot;??_-;_-@_-"/>
    <numFmt numFmtId="167" formatCode="0.000"/>
    <numFmt numFmtId="168" formatCode="0.0%"/>
    <numFmt numFmtId="169" formatCode="_-* #,##0.0000_-;\-* #,##0.0000_-;_-* &quot;-&quot;??_-;_-@_-"/>
    <numFmt numFmtId="170" formatCode="0.0"/>
    <numFmt numFmtId="171" formatCode="0_ ;\-0\ "/>
  </numFmts>
  <fonts count="9" x14ac:knownFonts="1">
    <font>
      <sz val="10"/>
      <name val="Arial"/>
    </font>
    <font>
      <sz val="10"/>
      <name val="Arial"/>
      <family val="2"/>
    </font>
    <font>
      <b/>
      <sz val="12"/>
      <name val="Arial"/>
      <family val="2"/>
    </font>
    <font>
      <b/>
      <sz val="10"/>
      <name val="Arial"/>
      <family val="2"/>
    </font>
    <font>
      <sz val="10"/>
      <name val="Arial"/>
      <family val="2"/>
    </font>
    <font>
      <sz val="10"/>
      <color theme="0" tint="-0.34998626667073579"/>
      <name val="Arial"/>
      <family val="2"/>
    </font>
    <font>
      <b/>
      <u/>
      <sz val="10"/>
      <name val="Arial"/>
      <family val="2"/>
    </font>
    <font>
      <b/>
      <u/>
      <sz val="12"/>
      <name val="Arial"/>
      <family val="2"/>
    </font>
    <font>
      <b/>
      <sz val="10"/>
      <color rgb="FFFF0000"/>
      <name val="Arial"/>
      <family val="2"/>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10" fontId="3" fillId="0" borderId="0" xfId="2" applyNumberFormat="1" applyFont="1" applyFill="1" applyAlignment="1">
      <alignment horizontal="center"/>
    </xf>
    <xf numFmtId="164" fontId="3" fillId="0" borderId="0" xfId="1" applyNumberFormat="1" applyFont="1" applyFill="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applyBorder="1"/>
    <xf numFmtId="0" fontId="4" fillId="0" borderId="4" xfId="0" applyFont="1" applyBorder="1"/>
    <xf numFmtId="164" fontId="4" fillId="2" borderId="0" xfId="1" applyNumberFormat="1" applyFont="1" applyFill="1" applyBorder="1" applyAlignment="1">
      <alignment horizontal="center"/>
    </xf>
    <xf numFmtId="43" fontId="4" fillId="0" borderId="0" xfId="1" applyNumberFormat="1" applyFont="1" applyBorder="1"/>
    <xf numFmtId="166" fontId="4" fillId="0" borderId="0" xfId="1" applyNumberFormat="1" applyFont="1" applyBorder="1"/>
    <xf numFmtId="0" fontId="4" fillId="0" borderId="5" xfId="0" applyFont="1" applyBorder="1"/>
    <xf numFmtId="0" fontId="4" fillId="0" borderId="6" xfId="0" applyFont="1" applyBorder="1"/>
    <xf numFmtId="0" fontId="4" fillId="0" borderId="7" xfId="0" applyFont="1" applyBorder="1"/>
    <xf numFmtId="0" fontId="4" fillId="0" borderId="0" xfId="0" applyFont="1"/>
    <xf numFmtId="164" fontId="4" fillId="0" borderId="0" xfId="1" applyNumberFormat="1" applyFont="1" applyBorder="1"/>
    <xf numFmtId="164" fontId="4" fillId="3" borderId="0" xfId="1"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3" xfId="0" applyFont="1" applyFill="1" applyBorder="1"/>
    <xf numFmtId="0" fontId="4" fillId="0" borderId="0" xfId="0" applyFont="1" applyFill="1" applyBorder="1"/>
    <xf numFmtId="1" fontId="4" fillId="0" borderId="0" xfId="2" applyNumberFormat="1" applyFont="1" applyFill="1" applyBorder="1"/>
    <xf numFmtId="0" fontId="3" fillId="0" borderId="3" xfId="0" applyFont="1" applyFill="1" applyBorder="1"/>
    <xf numFmtId="0" fontId="3" fillId="0" borderId="0" xfId="0" applyFont="1" applyFill="1" applyBorder="1"/>
    <xf numFmtId="164" fontId="3" fillId="0" borderId="0" xfId="0" applyNumberFormat="1" applyFont="1" applyFill="1" applyBorder="1"/>
    <xf numFmtId="164" fontId="4" fillId="0" borderId="0" xfId="0" applyNumberFormat="1" applyFont="1" applyFill="1" applyBorder="1"/>
    <xf numFmtId="9" fontId="4" fillId="0" borderId="0" xfId="2" applyFont="1" applyFill="1" applyBorder="1"/>
    <xf numFmtId="10" fontId="4" fillId="0" borderId="0" xfId="2" applyNumberFormat="1" applyFont="1" applyFill="1" applyBorder="1"/>
    <xf numFmtId="164" fontId="3" fillId="0" borderId="6" xfId="1" applyNumberFormat="1" applyFont="1" applyBorder="1" applyAlignment="1">
      <alignment horizontal="center"/>
    </xf>
    <xf numFmtId="0" fontId="5" fillId="0" borderId="0" xfId="0" applyFont="1" applyBorder="1"/>
    <xf numFmtId="165" fontId="5" fillId="0" borderId="4" xfId="0" applyNumberFormat="1" applyFont="1" applyFill="1" applyBorder="1" applyAlignment="1">
      <alignment horizontal="center"/>
    </xf>
    <xf numFmtId="0" fontId="3" fillId="0" borderId="5" xfId="0" applyFont="1" applyBorder="1"/>
    <xf numFmtId="0" fontId="3" fillId="0" borderId="6" xfId="0" applyFont="1" applyBorder="1"/>
    <xf numFmtId="164" fontId="3" fillId="0" borderId="6" xfId="0" applyNumberFormat="1" applyFont="1" applyBorder="1"/>
    <xf numFmtId="10" fontId="4" fillId="2" borderId="0" xfId="2" applyNumberFormat="1" applyFont="1" applyFill="1" applyBorder="1" applyAlignment="1">
      <alignment horizontal="right"/>
    </xf>
    <xf numFmtId="0" fontId="3" fillId="0" borderId="0" xfId="0" applyFont="1"/>
    <xf numFmtId="0" fontId="2" fillId="0" borderId="0" xfId="0" applyFont="1"/>
    <xf numFmtId="164" fontId="4" fillId="0" borderId="0" xfId="1" applyNumberFormat="1" applyFont="1" applyFill="1" applyAlignment="1">
      <alignment horizontal="center"/>
    </xf>
    <xf numFmtId="165" fontId="4" fillId="0" borderId="0" xfId="0" applyNumberFormat="1" applyFont="1" applyFill="1" applyBorder="1" applyAlignment="1">
      <alignment horizontal="center"/>
    </xf>
    <xf numFmtId="164" fontId="4" fillId="0" borderId="0" xfId="0" applyNumberFormat="1" applyFont="1" applyFill="1" applyAlignment="1">
      <alignment horizontal="center"/>
    </xf>
    <xf numFmtId="0" fontId="4" fillId="0" borderId="0" xfId="0" applyFont="1" applyFill="1"/>
    <xf numFmtId="0" fontId="3" fillId="0" borderId="8" xfId="0" applyFont="1" applyBorder="1"/>
    <xf numFmtId="164" fontId="4" fillId="0" borderId="0" xfId="0" applyNumberFormat="1" applyFont="1" applyBorder="1"/>
    <xf numFmtId="167" fontId="4" fillId="0" borderId="0" xfId="0" applyNumberFormat="1" applyFont="1"/>
    <xf numFmtId="0" fontId="3" fillId="0" borderId="8" xfId="0" applyFont="1" applyFill="1" applyBorder="1"/>
    <xf numFmtId="164" fontId="4" fillId="0" borderId="0" xfId="1" applyNumberFormat="1" applyFont="1"/>
    <xf numFmtId="8" fontId="4" fillId="0" borderId="0" xfId="0" applyNumberFormat="1" applyFont="1"/>
    <xf numFmtId="169" fontId="4" fillId="0" borderId="0" xfId="0" applyNumberFormat="1" applyFont="1"/>
    <xf numFmtId="0" fontId="4" fillId="0" borderId="0" xfId="0" quotePrefix="1" applyFont="1"/>
    <xf numFmtId="168" fontId="0" fillId="0" borderId="0" xfId="2" applyNumberFormat="1" applyFont="1"/>
    <xf numFmtId="1" fontId="0" fillId="0" borderId="0" xfId="0" applyNumberFormat="1"/>
    <xf numFmtId="10" fontId="0" fillId="0" borderId="0" xfId="2" applyNumberFormat="1" applyFont="1"/>
    <xf numFmtId="164" fontId="4" fillId="0" borderId="0" xfId="0" applyNumberFormat="1" applyFont="1"/>
    <xf numFmtId="170" fontId="0" fillId="0" borderId="0" xfId="0" applyNumberFormat="1"/>
    <xf numFmtId="0" fontId="4" fillId="0" borderId="0" xfId="0" applyFont="1" applyAlignment="1"/>
    <xf numFmtId="0" fontId="1" fillId="0" borderId="0" xfId="0" applyFont="1"/>
    <xf numFmtId="164" fontId="3" fillId="2" borderId="0" xfId="1" applyNumberFormat="1" applyFont="1" applyFill="1" applyBorder="1" applyAlignment="1">
      <alignment horizontal="left"/>
    </xf>
    <xf numFmtId="15" fontId="3" fillId="2" borderId="0" xfId="1" applyNumberFormat="1" applyFont="1" applyFill="1" applyBorder="1" applyAlignment="1">
      <alignment horizontal="left"/>
    </xf>
    <xf numFmtId="171" fontId="3" fillId="2" borderId="0" xfId="1" applyNumberFormat="1" applyFont="1" applyFill="1" applyBorder="1" applyAlignment="1">
      <alignment horizontal="left"/>
    </xf>
    <xf numFmtId="0" fontId="1" fillId="4" borderId="0" xfId="0" applyFont="1" applyFill="1" applyAlignment="1"/>
    <xf numFmtId="0" fontId="0" fillId="0" borderId="0" xfId="0" applyFill="1"/>
    <xf numFmtId="0" fontId="1" fillId="4" borderId="0" xfId="0" quotePrefix="1" applyFont="1" applyFill="1" applyAlignment="1">
      <alignment horizontal="center"/>
    </xf>
    <xf numFmtId="0" fontId="1" fillId="0" borderId="3" xfId="0" applyFont="1" applyBorder="1"/>
    <xf numFmtId="0" fontId="4" fillId="2" borderId="0" xfId="1" quotePrefix="1" applyNumberFormat="1" applyFont="1" applyFill="1" applyBorder="1" applyAlignment="1">
      <alignment horizontal="right"/>
    </xf>
    <xf numFmtId="164" fontId="3" fillId="2" borderId="0" xfId="1" applyNumberFormat="1" applyFont="1" applyFill="1" applyBorder="1" applyAlignment="1"/>
    <xf numFmtId="1" fontId="3" fillId="2" borderId="0" xfId="1" applyNumberFormat="1" applyFont="1" applyFill="1" applyBorder="1" applyAlignment="1">
      <alignment horizontal="left"/>
    </xf>
    <xf numFmtId="10" fontId="0" fillId="0" borderId="0" xfId="0" applyNumberFormat="1"/>
    <xf numFmtId="164" fontId="3" fillId="2" borderId="0" xfId="1" applyNumberFormat="1" applyFont="1" applyFill="1" applyBorder="1" applyAlignment="1">
      <alignment horizontal="left"/>
    </xf>
    <xf numFmtId="0" fontId="1" fillId="0" borderId="0" xfId="0" quotePrefix="1" applyFont="1"/>
    <xf numFmtId="1" fontId="0" fillId="5" borderId="0" xfId="0" applyNumberFormat="1" applyFill="1"/>
    <xf numFmtId="10" fontId="0" fillId="5" borderId="0" xfId="2" applyNumberFormat="1" applyFont="1" applyFill="1"/>
    <xf numFmtId="10" fontId="0" fillId="5" borderId="0" xfId="0" applyNumberFormat="1" applyFill="1"/>
    <xf numFmtId="0" fontId="1" fillId="5" borderId="0" xfId="0" applyFont="1" applyFill="1"/>
    <xf numFmtId="10" fontId="4" fillId="0" borderId="0" xfId="0" applyNumberFormat="1" applyFont="1"/>
    <xf numFmtId="0" fontId="1" fillId="0" borderId="0" xfId="0" applyFont="1" applyFill="1" applyBorder="1"/>
    <xf numFmtId="168" fontId="0" fillId="0" borderId="0" xfId="0" applyNumberFormat="1"/>
    <xf numFmtId="10" fontId="1" fillId="0" borderId="0" xfId="2" applyNumberFormat="1" applyFont="1" applyFill="1" applyBorder="1"/>
    <xf numFmtId="0" fontId="1" fillId="0" borderId="0" xfId="0" applyFont="1"/>
    <xf numFmtId="0" fontId="6" fillId="0" borderId="0" xfId="0" applyFont="1"/>
    <xf numFmtId="0" fontId="3" fillId="0" borderId="0" xfId="0" applyFont="1" applyAlignment="1">
      <alignment wrapText="1"/>
    </xf>
    <xf numFmtId="0" fontId="1" fillId="0" borderId="0" xfId="0" applyFont="1" applyAlignment="1">
      <alignment wrapText="1"/>
    </xf>
    <xf numFmtId="0" fontId="7" fillId="0" borderId="0" xfId="0" applyFont="1"/>
    <xf numFmtId="10" fontId="0" fillId="0" borderId="0" xfId="0" applyNumberFormat="1" applyFill="1"/>
    <xf numFmtId="164" fontId="3" fillId="2" borderId="0" xfId="1" applyNumberFormat="1" applyFont="1" applyFill="1" applyBorder="1" applyAlignment="1">
      <alignment horizontal="left"/>
    </xf>
    <xf numFmtId="0" fontId="1" fillId="0" borderId="0" xfId="0" applyFont="1" applyAlignment="1">
      <alignment horizontal="center"/>
    </xf>
    <xf numFmtId="0" fontId="4" fillId="0" borderId="0" xfId="0" applyFont="1" applyAlignment="1">
      <alignment horizontal="center"/>
    </xf>
    <xf numFmtId="0" fontId="1" fillId="4" borderId="9" xfId="0" applyFont="1" applyFill="1" applyBorder="1" applyAlignment="1">
      <alignment horizontal="center"/>
    </xf>
    <xf numFmtId="0" fontId="4" fillId="4" borderId="0" xfId="0" applyFont="1" applyFill="1" applyBorder="1" applyAlignment="1">
      <alignment horizontal="center"/>
    </xf>
  </cellXfs>
  <cellStyles count="4">
    <cellStyle name="Comma" xfId="1" builtinId="3"/>
    <cellStyle name="Comma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2"/>
  <sheetViews>
    <sheetView topLeftCell="A22" workbookViewId="0">
      <selection activeCell="D37" sqref="D37"/>
    </sheetView>
  </sheetViews>
  <sheetFormatPr defaultColWidth="8.85546875" defaultRowHeight="12.75" x14ac:dyDescent="0.2"/>
  <cols>
    <col min="1" max="1" width="5.140625" style="14" customWidth="1"/>
    <col min="2" max="2" width="27.85546875" style="14" customWidth="1"/>
    <col min="3" max="3" width="9.42578125" style="14" bestFit="1" customWidth="1"/>
    <col min="4" max="4" width="13.7109375" style="14" bestFit="1" customWidth="1"/>
    <col min="5" max="5" width="11.42578125" style="14" customWidth="1"/>
    <col min="6" max="6" width="16.28515625" style="14" customWidth="1"/>
    <col min="7" max="7" width="12.42578125" style="14" customWidth="1"/>
    <col min="8" max="8" width="8.85546875" style="14"/>
    <col min="9" max="9" width="11.42578125" style="14" bestFit="1" customWidth="1"/>
    <col min="10" max="18" width="10.5703125" style="14" customWidth="1"/>
    <col min="19" max="16384" width="8.85546875" style="14"/>
  </cols>
  <sheetData>
    <row r="2" spans="1:16" ht="15.75" x14ac:dyDescent="0.25">
      <c r="B2" s="35" t="s">
        <v>36</v>
      </c>
      <c r="C2" s="82" t="s">
        <v>52</v>
      </c>
      <c r="D2" s="82"/>
      <c r="E2" s="82"/>
    </row>
    <row r="3" spans="1:16" s="39" customFormat="1" ht="15.75" x14ac:dyDescent="0.25">
      <c r="A3" s="14"/>
      <c r="B3" s="35" t="s">
        <v>30</v>
      </c>
      <c r="C3" s="82" t="s">
        <v>53</v>
      </c>
      <c r="D3" s="82"/>
      <c r="E3" s="82"/>
      <c r="F3" s="2"/>
      <c r="G3" s="2"/>
      <c r="H3" s="1"/>
      <c r="I3" s="36"/>
      <c r="J3" s="37"/>
      <c r="K3" s="36"/>
      <c r="L3" s="37"/>
      <c r="M3" s="36"/>
      <c r="N3" s="36"/>
      <c r="O3" s="38"/>
    </row>
    <row r="4" spans="1:16" s="39" customFormat="1" ht="15.75" x14ac:dyDescent="0.25">
      <c r="A4" s="14"/>
      <c r="B4" s="35" t="s">
        <v>32</v>
      </c>
      <c r="C4" s="64">
        <v>1</v>
      </c>
      <c r="D4" s="63"/>
      <c r="E4" s="63"/>
      <c r="F4" s="14"/>
      <c r="G4" s="83"/>
      <c r="H4" s="84"/>
      <c r="I4" s="84"/>
      <c r="J4" s="84"/>
      <c r="K4" s="84"/>
      <c r="L4" s="14"/>
      <c r="M4" s="14"/>
      <c r="N4" s="14"/>
      <c r="O4" s="14"/>
      <c r="P4" s="14"/>
    </row>
    <row r="5" spans="1:16" s="39" customFormat="1" ht="15.75" x14ac:dyDescent="0.25">
      <c r="A5" s="14"/>
      <c r="B5" s="35" t="s">
        <v>37</v>
      </c>
      <c r="C5" s="57">
        <v>123</v>
      </c>
      <c r="D5" s="66"/>
      <c r="E5" s="66"/>
      <c r="F5" s="14"/>
      <c r="G5" s="14"/>
      <c r="H5" s="14"/>
      <c r="I5" s="14"/>
      <c r="J5" s="14"/>
      <c r="K5" s="14"/>
      <c r="L5" s="14"/>
      <c r="M5" s="14"/>
      <c r="N5" s="14"/>
      <c r="O5" s="14"/>
      <c r="P5" s="14"/>
    </row>
    <row r="6" spans="1:16" s="39" customFormat="1" ht="15.75" x14ac:dyDescent="0.25">
      <c r="A6" s="14"/>
      <c r="B6" s="35" t="s">
        <v>38</v>
      </c>
      <c r="C6" s="56">
        <v>42736</v>
      </c>
      <c r="D6" s="66"/>
      <c r="E6" s="66"/>
      <c r="F6" s="14"/>
      <c r="G6" s="14"/>
      <c r="H6" s="14"/>
      <c r="I6" s="14"/>
      <c r="J6" s="14"/>
      <c r="K6" s="14"/>
      <c r="L6" s="14"/>
      <c r="M6" s="14"/>
      <c r="N6" s="14"/>
      <c r="O6" s="14"/>
      <c r="P6" s="14"/>
    </row>
    <row r="7" spans="1:16" s="39" customFormat="1" ht="13.5" thickBot="1" x14ac:dyDescent="0.25">
      <c r="A7" s="14"/>
      <c r="B7" s="34"/>
      <c r="C7" s="14"/>
      <c r="D7" s="14"/>
      <c r="E7" s="14"/>
      <c r="F7" s="14"/>
      <c r="G7" s="14"/>
      <c r="H7" s="14"/>
      <c r="I7" s="14"/>
      <c r="J7" s="14"/>
      <c r="K7" s="14"/>
      <c r="L7" s="14"/>
      <c r="M7" s="14"/>
      <c r="N7" s="14"/>
      <c r="O7" s="14"/>
      <c r="P7" s="14"/>
    </row>
    <row r="8" spans="1:16" s="39" customFormat="1" x14ac:dyDescent="0.2">
      <c r="A8" s="14"/>
      <c r="B8" s="40" t="s">
        <v>9</v>
      </c>
      <c r="C8" s="3"/>
      <c r="D8" s="3"/>
      <c r="E8" s="3"/>
      <c r="F8" s="3"/>
      <c r="G8" s="4"/>
      <c r="H8" s="14"/>
      <c r="I8" s="14"/>
      <c r="J8" s="14"/>
      <c r="K8" s="14"/>
      <c r="L8" s="14"/>
      <c r="M8" s="14"/>
      <c r="N8" s="14"/>
      <c r="O8" s="14"/>
      <c r="P8" s="14"/>
    </row>
    <row r="9" spans="1:16" s="39" customFormat="1" x14ac:dyDescent="0.2">
      <c r="A9" s="14"/>
      <c r="B9" s="5" t="s">
        <v>24</v>
      </c>
      <c r="C9" s="6"/>
      <c r="D9" s="41">
        <f>+D54</f>
        <v>428304.81765520904</v>
      </c>
      <c r="E9" s="6"/>
      <c r="F9" s="6"/>
      <c r="G9" s="7"/>
      <c r="H9" s="14"/>
      <c r="I9" s="14"/>
      <c r="J9" s="14"/>
      <c r="K9" s="14"/>
      <c r="L9" s="14"/>
      <c r="M9" s="14"/>
      <c r="N9" s="14"/>
      <c r="O9" s="14"/>
      <c r="P9" s="14"/>
    </row>
    <row r="10" spans="1:16" s="39" customFormat="1" x14ac:dyDescent="0.2">
      <c r="A10" s="14"/>
      <c r="B10" s="5"/>
      <c r="C10" s="6"/>
      <c r="D10" s="6"/>
      <c r="E10" s="6"/>
      <c r="F10" s="6"/>
      <c r="G10" s="7"/>
      <c r="H10" s="14"/>
      <c r="I10" s="14"/>
      <c r="J10" s="14"/>
      <c r="K10" s="14"/>
      <c r="L10" s="14"/>
      <c r="M10" s="14"/>
      <c r="N10" s="14"/>
      <c r="O10" s="14"/>
      <c r="P10" s="14"/>
    </row>
    <row r="11" spans="1:16" s="39" customFormat="1" x14ac:dyDescent="0.2">
      <c r="A11" s="14"/>
      <c r="B11" s="61" t="s">
        <v>54</v>
      </c>
      <c r="C11" s="6"/>
      <c r="D11" s="41">
        <f>+D23</f>
        <v>377000</v>
      </c>
      <c r="E11" s="6"/>
      <c r="F11" s="6"/>
      <c r="G11" s="7"/>
      <c r="H11" s="14"/>
      <c r="I11" s="14"/>
      <c r="J11" s="14"/>
      <c r="K11" s="14"/>
      <c r="L11" s="14"/>
      <c r="M11" s="14"/>
      <c r="N11" s="14"/>
      <c r="O11" s="14"/>
      <c r="P11" s="14"/>
    </row>
    <row r="12" spans="1:16" s="39" customFormat="1" x14ac:dyDescent="0.2">
      <c r="A12" s="14"/>
      <c r="B12" s="5" t="s">
        <v>31</v>
      </c>
      <c r="C12" s="6"/>
      <c r="D12" s="41">
        <f>+D24</f>
        <v>0</v>
      </c>
      <c r="E12" s="6"/>
      <c r="F12" s="6"/>
      <c r="G12" s="7"/>
      <c r="H12" s="14"/>
      <c r="I12" s="14"/>
      <c r="J12" s="14"/>
      <c r="K12" s="14"/>
      <c r="L12" s="14"/>
      <c r="M12" s="14"/>
      <c r="N12" s="14"/>
      <c r="O12" s="14"/>
      <c r="P12" s="14"/>
    </row>
    <row r="13" spans="1:16" s="39" customFormat="1" x14ac:dyDescent="0.2">
      <c r="A13" s="14"/>
      <c r="B13" s="5" t="s">
        <v>10</v>
      </c>
      <c r="C13" s="6"/>
      <c r="D13" s="41">
        <f>+D64</f>
        <v>0</v>
      </c>
      <c r="E13" s="6"/>
      <c r="F13" s="6"/>
      <c r="G13" s="7"/>
      <c r="H13" s="14"/>
      <c r="I13" s="14"/>
      <c r="J13" s="14"/>
      <c r="K13" s="14"/>
      <c r="L13" s="14"/>
      <c r="M13" s="14"/>
      <c r="N13" s="14"/>
      <c r="O13" s="14"/>
      <c r="P13" s="14"/>
    </row>
    <row r="14" spans="1:16" s="39" customFormat="1" x14ac:dyDescent="0.2">
      <c r="A14" s="14"/>
      <c r="B14" s="5" t="s">
        <v>21</v>
      </c>
      <c r="C14" s="6"/>
      <c r="D14" s="41">
        <f>+D13+D12+D11</f>
        <v>377000</v>
      </c>
      <c r="E14" s="6"/>
      <c r="F14" s="6"/>
      <c r="G14" s="7"/>
      <c r="H14" s="14"/>
      <c r="I14" s="14"/>
      <c r="J14" s="14"/>
      <c r="K14" s="14"/>
      <c r="L14" s="14"/>
      <c r="M14" s="14"/>
      <c r="N14" s="14"/>
      <c r="O14" s="14"/>
      <c r="P14" s="14"/>
    </row>
    <row r="15" spans="1:16" s="39" customFormat="1" x14ac:dyDescent="0.2">
      <c r="A15" s="14"/>
      <c r="B15" s="5"/>
      <c r="C15" s="6"/>
      <c r="D15" s="6"/>
      <c r="E15" s="6"/>
      <c r="F15" s="6"/>
      <c r="G15" s="7"/>
      <c r="H15" s="14"/>
      <c r="I15" s="14"/>
      <c r="J15" s="14"/>
      <c r="K15" s="14"/>
      <c r="L15" s="14"/>
      <c r="M15" s="14"/>
      <c r="N15" s="14"/>
      <c r="O15" s="14"/>
      <c r="P15" s="14"/>
    </row>
    <row r="16" spans="1:16" s="39" customFormat="1" ht="13.5" thickBot="1" x14ac:dyDescent="0.25">
      <c r="A16" s="14"/>
      <c r="B16" s="11" t="s">
        <v>25</v>
      </c>
      <c r="C16" s="12"/>
      <c r="D16" s="27" t="str">
        <f>IF(D14&gt;D9,D14-D9,"NO")</f>
        <v>NO</v>
      </c>
      <c r="E16" s="12"/>
      <c r="F16" s="12"/>
      <c r="G16" s="13"/>
      <c r="H16" s="14"/>
      <c r="I16" s="14"/>
      <c r="J16" s="14"/>
      <c r="K16" s="14"/>
      <c r="L16" s="14"/>
      <c r="M16" s="14"/>
      <c r="N16" s="14"/>
      <c r="O16" s="14"/>
      <c r="P16" s="14"/>
    </row>
    <row r="17" spans="2:9" ht="13.5" thickBot="1" x14ac:dyDescent="0.25">
      <c r="I17" s="53"/>
    </row>
    <row r="18" spans="2:9" x14ac:dyDescent="0.2">
      <c r="B18" s="40" t="s">
        <v>14</v>
      </c>
      <c r="C18" s="3"/>
      <c r="D18" s="3"/>
      <c r="E18" s="3"/>
      <c r="F18" s="3"/>
      <c r="G18" s="4"/>
    </row>
    <row r="19" spans="2:9" x14ac:dyDescent="0.2">
      <c r="B19" s="5"/>
      <c r="C19" s="6"/>
      <c r="D19" s="6"/>
      <c r="E19" s="6"/>
      <c r="F19" s="6"/>
      <c r="G19" s="7"/>
    </row>
    <row r="20" spans="2:9" x14ac:dyDescent="0.2">
      <c r="B20" s="5" t="s">
        <v>13</v>
      </c>
      <c r="C20" s="6"/>
      <c r="D20" s="8">
        <v>5</v>
      </c>
      <c r="E20" s="6"/>
      <c r="F20" s="6"/>
      <c r="G20" s="7"/>
    </row>
    <row r="21" spans="2:9" x14ac:dyDescent="0.2">
      <c r="B21" s="5"/>
      <c r="C21" s="6"/>
      <c r="D21" s="16"/>
      <c r="E21" s="6"/>
      <c r="F21" s="6"/>
      <c r="G21" s="7"/>
    </row>
    <row r="22" spans="2:9" x14ac:dyDescent="0.2">
      <c r="B22" s="5" t="s">
        <v>2</v>
      </c>
      <c r="C22" s="6"/>
      <c r="D22" s="8">
        <v>650000</v>
      </c>
      <c r="E22" s="6"/>
      <c r="F22" s="6"/>
      <c r="G22" s="7"/>
      <c r="I22" s="51"/>
    </row>
    <row r="23" spans="2:9" x14ac:dyDescent="0.2">
      <c r="B23" s="61" t="s">
        <v>49</v>
      </c>
      <c r="C23" s="6"/>
      <c r="D23" s="8">
        <v>377000</v>
      </c>
      <c r="E23" s="41">
        <f>+D23/D20</f>
        <v>75400</v>
      </c>
      <c r="F23" s="6" t="s">
        <v>29</v>
      </c>
      <c r="G23" s="7"/>
    </row>
    <row r="24" spans="2:9" x14ac:dyDescent="0.2">
      <c r="B24" s="5" t="s">
        <v>31</v>
      </c>
      <c r="C24" s="6"/>
      <c r="D24" s="8">
        <v>0</v>
      </c>
      <c r="E24" s="41"/>
      <c r="F24" s="6"/>
      <c r="G24" s="7"/>
    </row>
    <row r="25" spans="2:9" x14ac:dyDescent="0.2">
      <c r="B25" s="5" t="s">
        <v>34</v>
      </c>
      <c r="C25" s="6"/>
      <c r="D25" s="8">
        <v>5158</v>
      </c>
      <c r="E25" s="9">
        <f>+D25/52</f>
        <v>99.192307692307693</v>
      </c>
      <c r="F25" s="10" t="s">
        <v>8</v>
      </c>
      <c r="G25" s="7"/>
    </row>
    <row r="26" spans="2:9" x14ac:dyDescent="0.2">
      <c r="B26" s="5" t="s">
        <v>35</v>
      </c>
      <c r="C26" s="6"/>
      <c r="D26" s="62">
        <v>2019</v>
      </c>
      <c r="E26" s="9"/>
      <c r="F26" s="10"/>
      <c r="G26" s="7"/>
    </row>
    <row r="27" spans="2:9" x14ac:dyDescent="0.2">
      <c r="B27" s="5" t="s">
        <v>18</v>
      </c>
      <c r="C27" s="6"/>
      <c r="D27" s="17">
        <v>30</v>
      </c>
      <c r="E27" s="9"/>
      <c r="F27" s="10"/>
      <c r="G27" s="7"/>
    </row>
    <row r="28" spans="2:9" x14ac:dyDescent="0.2">
      <c r="B28" s="61" t="s">
        <v>62</v>
      </c>
      <c r="C28" s="6"/>
      <c r="D28" s="17"/>
      <c r="E28" s="9"/>
      <c r="F28" s="10"/>
      <c r="G28" s="7"/>
    </row>
    <row r="29" spans="2:9" ht="13.5" thickBot="1" x14ac:dyDescent="0.25">
      <c r="B29" s="11"/>
      <c r="C29" s="12"/>
      <c r="D29" s="12"/>
      <c r="E29" s="12"/>
      <c r="F29" s="12"/>
      <c r="G29" s="13"/>
    </row>
    <row r="30" spans="2:9" ht="13.5" thickBot="1" x14ac:dyDescent="0.25"/>
    <row r="31" spans="2:9" x14ac:dyDescent="0.2">
      <c r="B31" s="40" t="s">
        <v>12</v>
      </c>
      <c r="C31" s="3"/>
      <c r="D31" s="3"/>
      <c r="E31" s="3"/>
      <c r="F31" s="3"/>
      <c r="G31" s="4"/>
      <c r="H31" s="6"/>
    </row>
    <row r="32" spans="2:9" x14ac:dyDescent="0.2">
      <c r="B32" s="5"/>
      <c r="C32" s="6"/>
      <c r="D32" s="6"/>
      <c r="E32" s="6"/>
      <c r="F32" s="6"/>
      <c r="G32" s="7"/>
      <c r="H32" s="6"/>
    </row>
    <row r="33" spans="2:9" x14ac:dyDescent="0.2">
      <c r="B33" s="5" t="s">
        <v>3</v>
      </c>
      <c r="C33" s="6"/>
      <c r="D33" s="6"/>
      <c r="E33" s="6"/>
      <c r="F33" s="6"/>
      <c r="G33" s="7"/>
      <c r="H33" s="6"/>
    </row>
    <row r="34" spans="2:9" x14ac:dyDescent="0.2">
      <c r="B34" s="5" t="s">
        <v>1</v>
      </c>
      <c r="C34" s="6"/>
      <c r="D34" s="26">
        <v>4.2999999999999997E-2</v>
      </c>
      <c r="E34" s="6"/>
      <c r="F34" s="6"/>
      <c r="G34" s="7"/>
      <c r="H34" s="6"/>
    </row>
    <row r="35" spans="2:9" x14ac:dyDescent="0.2">
      <c r="B35" s="5" t="s">
        <v>11</v>
      </c>
      <c r="C35" s="6"/>
      <c r="D35" s="26">
        <f>VLOOKUP(D26,'Assumption Data'!D3:H5,3)</f>
        <v>0.02</v>
      </c>
      <c r="E35" s="6"/>
      <c r="F35" s="28" t="s">
        <v>4</v>
      </c>
      <c r="G35" s="29">
        <f>(1-((1+D$34)/(1+D35))^-D27)/(D$34-D35)</f>
        <v>21.206832868933251</v>
      </c>
      <c r="H35" s="6"/>
    </row>
    <row r="36" spans="2:9" x14ac:dyDescent="0.2">
      <c r="B36" s="5" t="s">
        <v>0</v>
      </c>
      <c r="C36" s="6"/>
      <c r="D36" s="26">
        <f>VLOOKUP(D26,'Assumption Data'!D20:K26,8)</f>
        <v>0.03</v>
      </c>
      <c r="E36" s="6"/>
      <c r="F36" s="28" t="s">
        <v>5</v>
      </c>
      <c r="G36" s="29">
        <f>(1-((1+D$34)/(1+D36))^-D27)/(D$34-D36)</f>
        <v>24.12183518470497</v>
      </c>
      <c r="H36" s="6"/>
    </row>
    <row r="37" spans="2:9" x14ac:dyDescent="0.2">
      <c r="B37" s="18"/>
      <c r="C37" s="19"/>
      <c r="D37" s="20"/>
      <c r="E37" s="19"/>
      <c r="F37" s="6"/>
      <c r="G37" s="7"/>
      <c r="H37" s="6"/>
    </row>
    <row r="38" spans="2:9" x14ac:dyDescent="0.2">
      <c r="B38" s="61" t="s">
        <v>56</v>
      </c>
      <c r="C38" s="6"/>
      <c r="D38" s="26">
        <f>VLOOKUP(D26,'Assumption Data'!D20:K26,7)</f>
        <v>2.0999999999999998E-2</v>
      </c>
      <c r="E38" s="6"/>
      <c r="F38" s="6"/>
      <c r="G38" s="7"/>
      <c r="H38" s="6"/>
    </row>
    <row r="39" spans="2:9" x14ac:dyDescent="0.2">
      <c r="B39" s="5"/>
      <c r="C39" s="6"/>
      <c r="D39" s="19"/>
      <c r="E39" s="6"/>
      <c r="F39" s="6"/>
      <c r="G39" s="7"/>
      <c r="H39" s="6"/>
    </row>
    <row r="40" spans="2:9" x14ac:dyDescent="0.2">
      <c r="B40" s="61"/>
      <c r="C40" s="19"/>
      <c r="D40" s="6"/>
      <c r="E40" s="6"/>
      <c r="F40" s="6"/>
      <c r="G40" s="7"/>
      <c r="H40" s="6"/>
      <c r="I40" s="42"/>
    </row>
    <row r="41" spans="2:9" x14ac:dyDescent="0.2">
      <c r="B41" s="61" t="s">
        <v>6</v>
      </c>
      <c r="C41" s="19">
        <f>VLOOKUP(D26,'Assumption Data'!D20:I25,3)</f>
        <v>1241</v>
      </c>
      <c r="D41" s="6"/>
      <c r="E41" s="6"/>
      <c r="F41" s="6"/>
      <c r="G41" s="7"/>
      <c r="H41" s="6"/>
    </row>
    <row r="42" spans="2:9" x14ac:dyDescent="0.2">
      <c r="B42" s="61" t="s">
        <v>43</v>
      </c>
      <c r="C42" s="19">
        <f>VLOOKUP(D26,'Assumption Data'!D20:I25,4)</f>
        <v>1135</v>
      </c>
      <c r="D42" s="6"/>
      <c r="E42" s="6"/>
      <c r="F42" s="6"/>
      <c r="G42" s="7"/>
      <c r="H42" s="6"/>
    </row>
    <row r="43" spans="2:9" x14ac:dyDescent="0.2">
      <c r="B43" s="61" t="s">
        <v>7</v>
      </c>
      <c r="C43" s="19">
        <f>VLOOKUP(D26,'Assumption Data'!D20:I25,5)</f>
        <v>1277</v>
      </c>
      <c r="D43" s="6"/>
      <c r="E43" s="6"/>
      <c r="F43" s="6"/>
      <c r="G43" s="7"/>
      <c r="H43" s="6"/>
    </row>
    <row r="44" spans="2:9" x14ac:dyDescent="0.2">
      <c r="B44" s="61"/>
      <c r="C44" s="73" t="s">
        <v>66</v>
      </c>
      <c r="D44" s="6"/>
      <c r="E44" s="6"/>
      <c r="F44" s="6"/>
      <c r="G44" s="7"/>
      <c r="H44" s="6"/>
    </row>
    <row r="45" spans="2:9" x14ac:dyDescent="0.2">
      <c r="B45" s="5"/>
      <c r="C45" s="19"/>
      <c r="D45" s="15">
        <f>SUM(C40:C45)</f>
        <v>3653</v>
      </c>
      <c r="E45" s="6"/>
      <c r="F45" s="6"/>
      <c r="G45" s="7"/>
      <c r="H45" s="6"/>
    </row>
    <row r="46" spans="2:9" ht="13.5" thickBot="1" x14ac:dyDescent="0.25">
      <c r="B46" s="11"/>
      <c r="C46" s="12"/>
      <c r="D46" s="12"/>
      <c r="E46" s="12"/>
      <c r="F46" s="12"/>
      <c r="G46" s="13"/>
      <c r="H46" s="6"/>
    </row>
    <row r="47" spans="2:9" ht="13.5" thickBot="1" x14ac:dyDescent="0.25">
      <c r="B47" s="6"/>
      <c r="C47" s="6"/>
      <c r="D47" s="6"/>
      <c r="E47" s="6"/>
      <c r="F47" s="6"/>
      <c r="G47" s="6"/>
      <c r="H47" s="6"/>
    </row>
    <row r="48" spans="2:9" x14ac:dyDescent="0.2">
      <c r="B48" s="40" t="s">
        <v>23</v>
      </c>
      <c r="C48" s="3"/>
      <c r="D48" s="3"/>
      <c r="E48" s="3"/>
      <c r="F48" s="3"/>
      <c r="G48" s="4"/>
    </row>
    <row r="49" spans="2:7" x14ac:dyDescent="0.2">
      <c r="B49" s="5"/>
      <c r="C49" s="6"/>
      <c r="D49" s="6"/>
      <c r="E49" s="6"/>
      <c r="F49" s="6"/>
      <c r="G49" s="7"/>
    </row>
    <row r="50" spans="2:7" x14ac:dyDescent="0.2">
      <c r="B50" s="5" t="s">
        <v>15</v>
      </c>
      <c r="C50" s="6"/>
      <c r="D50" s="15">
        <f>+D25*(1-D38)*G36</f>
        <v>121807.59693917136</v>
      </c>
      <c r="E50" s="6"/>
      <c r="F50" s="6"/>
      <c r="G50" s="7"/>
    </row>
    <row r="51" spans="2:7" x14ac:dyDescent="0.2">
      <c r="B51" s="5" t="s">
        <v>16</v>
      </c>
      <c r="C51" s="6"/>
      <c r="D51" s="15">
        <f>+G35*D45</f>
        <v>77468.560470213168</v>
      </c>
      <c r="E51" s="6"/>
      <c r="F51" s="6"/>
      <c r="G51" s="7"/>
    </row>
    <row r="52" spans="2:7" x14ac:dyDescent="0.2">
      <c r="B52" s="5"/>
      <c r="C52" s="6"/>
      <c r="D52" s="15"/>
      <c r="E52" s="6"/>
      <c r="F52" s="6"/>
      <c r="G52" s="7"/>
    </row>
    <row r="53" spans="2:7" x14ac:dyDescent="0.2">
      <c r="B53" s="18" t="s">
        <v>26</v>
      </c>
      <c r="C53" s="19"/>
      <c r="D53" s="24">
        <f>(+D50-D51)*D20</f>
        <v>221695.18234479096</v>
      </c>
      <c r="E53" s="25">
        <f>+D53/D55</f>
        <v>0.34106951129967839</v>
      </c>
      <c r="F53" s="6"/>
      <c r="G53" s="7"/>
    </row>
    <row r="54" spans="2:7" x14ac:dyDescent="0.2">
      <c r="B54" s="21" t="s">
        <v>24</v>
      </c>
      <c r="C54" s="22"/>
      <c r="D54" s="23">
        <f>+D22-D53</f>
        <v>428304.81765520904</v>
      </c>
      <c r="E54" s="25">
        <f>+D54/D55</f>
        <v>0.65893048870032156</v>
      </c>
      <c r="F54" s="6"/>
      <c r="G54" s="7"/>
    </row>
    <row r="55" spans="2:7" x14ac:dyDescent="0.2">
      <c r="B55" s="18" t="s">
        <v>27</v>
      </c>
      <c r="C55" s="19"/>
      <c r="D55" s="24">
        <f>+D54+D53</f>
        <v>650000</v>
      </c>
      <c r="E55" s="19"/>
      <c r="F55" s="6"/>
      <c r="G55" s="7"/>
    </row>
    <row r="56" spans="2:7" ht="13.5" thickBot="1" x14ac:dyDescent="0.25">
      <c r="B56" s="11"/>
      <c r="C56" s="12"/>
      <c r="D56" s="12"/>
      <c r="E56" s="12"/>
      <c r="F56" s="12"/>
      <c r="G56" s="13"/>
    </row>
    <row r="57" spans="2:7" ht="13.5" thickBot="1" x14ac:dyDescent="0.25"/>
    <row r="58" spans="2:7" x14ac:dyDescent="0.2">
      <c r="B58" s="43" t="s">
        <v>33</v>
      </c>
      <c r="C58" s="3"/>
      <c r="D58" s="3"/>
      <c r="E58" s="3"/>
      <c r="F58" s="3"/>
      <c r="G58" s="4"/>
    </row>
    <row r="59" spans="2:7" x14ac:dyDescent="0.2">
      <c r="B59" s="5"/>
      <c r="C59" s="6"/>
      <c r="D59" s="6"/>
      <c r="E59" s="6"/>
      <c r="F59" s="6"/>
      <c r="G59" s="7"/>
    </row>
    <row r="60" spans="2:7" x14ac:dyDescent="0.2">
      <c r="B60" s="5" t="s">
        <v>17</v>
      </c>
      <c r="C60" s="6"/>
      <c r="D60" s="41">
        <f>+D22-D23-D24</f>
        <v>273000</v>
      </c>
      <c r="E60" s="6"/>
      <c r="F60" s="6"/>
      <c r="G60" s="7"/>
    </row>
    <row r="61" spans="2:7" x14ac:dyDescent="0.2">
      <c r="B61" s="5"/>
      <c r="C61" s="6"/>
      <c r="D61" s="6"/>
      <c r="E61" s="6"/>
      <c r="F61" s="6"/>
      <c r="G61" s="7"/>
    </row>
    <row r="62" spans="2:7" x14ac:dyDescent="0.2">
      <c r="B62" s="5" t="s">
        <v>19</v>
      </c>
      <c r="C62" s="6"/>
      <c r="D62" s="33"/>
      <c r="E62" s="6"/>
      <c r="F62" s="6"/>
      <c r="G62" s="7"/>
    </row>
    <row r="63" spans="2:7" x14ac:dyDescent="0.2">
      <c r="B63" s="5" t="s">
        <v>20</v>
      </c>
      <c r="C63" s="6"/>
      <c r="D63" s="41">
        <f>+D62*D60</f>
        <v>0</v>
      </c>
      <c r="E63" s="6"/>
      <c r="F63" s="6"/>
      <c r="G63" s="7"/>
    </row>
    <row r="64" spans="2:7" ht="13.5" thickBot="1" x14ac:dyDescent="0.25">
      <c r="B64" s="30" t="s">
        <v>22</v>
      </c>
      <c r="C64" s="31"/>
      <c r="D64" s="32">
        <f>PV(+D35,30,-D63)</f>
        <v>0</v>
      </c>
      <c r="E64" s="12"/>
      <c r="F64" s="12"/>
      <c r="G64" s="13"/>
    </row>
    <row r="68" spans="4:7" x14ac:dyDescent="0.2">
      <c r="D68" s="51"/>
    </row>
    <row r="70" spans="4:7" x14ac:dyDescent="0.2">
      <c r="G70" s="44"/>
    </row>
    <row r="72" spans="4:7" x14ac:dyDescent="0.2">
      <c r="E72" s="45"/>
      <c r="G72" s="46"/>
    </row>
  </sheetData>
  <mergeCells count="3">
    <mergeCell ref="C2:E2"/>
    <mergeCell ref="C3:E3"/>
    <mergeCell ref="G4:K4"/>
  </mergeCells>
  <dataValidations count="1">
    <dataValidation type="list" allowBlank="1" showInputMessage="1" showErrorMessage="1" sqref="D28">
      <formula1>"Traditional, LSVT"</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 Data'!$D$21:$D$24</xm:f>
          </x14:formula1>
          <xm:sqref>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7"/>
  <sheetViews>
    <sheetView topLeftCell="A13" workbookViewId="0">
      <selection activeCell="B28" sqref="B28"/>
    </sheetView>
  </sheetViews>
  <sheetFormatPr defaultRowHeight="12.75" x14ac:dyDescent="0.2"/>
  <cols>
    <col min="1" max="1" width="3.85546875" customWidth="1"/>
    <col min="2" max="2" width="89" bestFit="1" customWidth="1"/>
  </cols>
  <sheetData>
    <row r="1" spans="2:2" ht="15.75" x14ac:dyDescent="0.25">
      <c r="B1" s="80" t="s">
        <v>83</v>
      </c>
    </row>
    <row r="3" spans="2:2" ht="15.75" x14ac:dyDescent="0.25">
      <c r="B3" s="80" t="s">
        <v>68</v>
      </c>
    </row>
    <row r="4" spans="2:2" ht="12.75" customHeight="1" x14ac:dyDescent="0.2"/>
    <row r="5" spans="2:2" ht="33.75" customHeight="1" x14ac:dyDescent="0.2">
      <c r="B5" s="78" t="s">
        <v>69</v>
      </c>
    </row>
    <row r="7" spans="2:2" x14ac:dyDescent="0.2">
      <c r="B7" s="77" t="s">
        <v>70</v>
      </c>
    </row>
    <row r="8" spans="2:2" ht="15.75" customHeight="1" x14ac:dyDescent="0.2">
      <c r="B8" s="76" t="s">
        <v>71</v>
      </c>
    </row>
    <row r="10" spans="2:2" x14ac:dyDescent="0.2">
      <c r="B10" s="77" t="s">
        <v>72</v>
      </c>
    </row>
    <row r="11" spans="2:2" ht="21.75" customHeight="1" x14ac:dyDescent="0.2">
      <c r="B11" s="76" t="s">
        <v>73</v>
      </c>
    </row>
    <row r="13" spans="2:2" ht="21.75" customHeight="1" x14ac:dyDescent="0.2">
      <c r="B13" s="76" t="s">
        <v>74</v>
      </c>
    </row>
    <row r="14" spans="2:2" ht="51" customHeight="1" x14ac:dyDescent="0.2">
      <c r="B14" s="79" t="s">
        <v>75</v>
      </c>
    </row>
    <row r="15" spans="2:2" ht="33.75" customHeight="1" x14ac:dyDescent="0.2">
      <c r="B15" s="79" t="s">
        <v>76</v>
      </c>
    </row>
    <row r="16" spans="2:2" x14ac:dyDescent="0.2">
      <c r="B16" s="76" t="s">
        <v>77</v>
      </c>
    </row>
    <row r="17" spans="2:2" x14ac:dyDescent="0.2">
      <c r="B17" s="76" t="s">
        <v>78</v>
      </c>
    </row>
    <row r="18" spans="2:2" x14ac:dyDescent="0.2">
      <c r="B18" s="76" t="s">
        <v>79</v>
      </c>
    </row>
    <row r="20" spans="2:2" x14ac:dyDescent="0.2">
      <c r="B20" s="77" t="s">
        <v>12</v>
      </c>
    </row>
    <row r="21" spans="2:2" x14ac:dyDescent="0.2">
      <c r="B21" s="76" t="s">
        <v>71</v>
      </c>
    </row>
    <row r="23" spans="2:2" x14ac:dyDescent="0.2">
      <c r="B23" s="77" t="s">
        <v>23</v>
      </c>
    </row>
    <row r="24" spans="2:2" x14ac:dyDescent="0.2">
      <c r="B24" s="76" t="s">
        <v>71</v>
      </c>
    </row>
    <row r="26" spans="2:2" x14ac:dyDescent="0.2">
      <c r="B26" s="77" t="s">
        <v>80</v>
      </c>
    </row>
    <row r="27" spans="2:2" ht="25.5" x14ac:dyDescent="0.2">
      <c r="B27" s="79" t="s">
        <v>84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2"/>
  <sheetViews>
    <sheetView tabSelected="1" topLeftCell="A19" workbookViewId="0">
      <selection activeCell="D23" sqref="D23"/>
    </sheetView>
  </sheetViews>
  <sheetFormatPr defaultColWidth="8.85546875" defaultRowHeight="12.75" x14ac:dyDescent="0.2"/>
  <cols>
    <col min="1" max="1" width="5.140625" style="14" customWidth="1"/>
    <col min="2" max="2" width="27.85546875" style="14" customWidth="1"/>
    <col min="3" max="3" width="9.42578125" style="14" bestFit="1" customWidth="1"/>
    <col min="4" max="4" width="13.7109375" style="14" bestFit="1" customWidth="1"/>
    <col min="5" max="5" width="11.42578125" style="14" customWidth="1"/>
    <col min="6" max="6" width="16.28515625" style="14" customWidth="1"/>
    <col min="7" max="7" width="12.42578125" style="14" customWidth="1"/>
    <col min="8" max="8" width="8.85546875" style="14"/>
    <col min="9" max="9" width="11.42578125" style="14" bestFit="1" customWidth="1"/>
    <col min="10" max="18" width="10.5703125" style="14" customWidth="1"/>
    <col min="19" max="16384" width="8.85546875" style="14"/>
  </cols>
  <sheetData>
    <row r="2" spans="1:16" ht="15.75" x14ac:dyDescent="0.25">
      <c r="B2" s="35" t="s">
        <v>36</v>
      </c>
      <c r="C2" s="82"/>
      <c r="D2" s="82"/>
      <c r="E2" s="82"/>
    </row>
    <row r="3" spans="1:16" s="39" customFormat="1" ht="15.75" x14ac:dyDescent="0.25">
      <c r="A3" s="14"/>
      <c r="B3" s="35" t="s">
        <v>30</v>
      </c>
      <c r="C3" s="82"/>
      <c r="D3" s="82"/>
      <c r="E3" s="82"/>
      <c r="F3" s="2"/>
      <c r="G3" s="2"/>
      <c r="H3" s="1"/>
      <c r="I3" s="36"/>
      <c r="J3" s="37"/>
      <c r="K3" s="36"/>
      <c r="L3" s="37"/>
      <c r="M3" s="36"/>
      <c r="N3" s="36"/>
      <c r="O3" s="38"/>
    </row>
    <row r="4" spans="1:16" s="39" customFormat="1" ht="15.75" x14ac:dyDescent="0.25">
      <c r="A4" s="14"/>
      <c r="B4" s="35" t="s">
        <v>32</v>
      </c>
      <c r="C4" s="64"/>
      <c r="D4" s="63"/>
      <c r="E4" s="63"/>
      <c r="F4" s="14"/>
      <c r="G4" s="83"/>
      <c r="H4" s="84"/>
      <c r="I4" s="84"/>
      <c r="J4" s="84"/>
      <c r="K4" s="84"/>
      <c r="L4" s="14"/>
      <c r="M4" s="14"/>
      <c r="N4" s="14"/>
      <c r="O4" s="14"/>
      <c r="P4" s="14"/>
    </row>
    <row r="5" spans="1:16" s="39" customFormat="1" ht="15.75" x14ac:dyDescent="0.25">
      <c r="A5" s="14"/>
      <c r="B5" s="35" t="s">
        <v>85</v>
      </c>
      <c r="C5" s="57"/>
      <c r="D5" s="55"/>
      <c r="E5" s="55"/>
      <c r="F5" s="14"/>
      <c r="G5" s="14"/>
      <c r="H5" s="14"/>
      <c r="I5" s="14"/>
      <c r="J5" s="14"/>
      <c r="K5" s="14"/>
      <c r="L5" s="14"/>
      <c r="M5" s="14"/>
      <c r="N5" s="14"/>
      <c r="O5" s="14"/>
      <c r="P5" s="14"/>
    </row>
    <row r="6" spans="1:16" s="39" customFormat="1" ht="15.75" x14ac:dyDescent="0.25">
      <c r="A6" s="14"/>
      <c r="B6" s="35" t="s">
        <v>38</v>
      </c>
      <c r="C6" s="56"/>
      <c r="D6" s="55"/>
      <c r="E6" s="55"/>
      <c r="F6" s="14"/>
      <c r="G6" s="14"/>
      <c r="H6" s="14"/>
      <c r="I6" s="14"/>
      <c r="J6" s="14"/>
      <c r="K6" s="14"/>
      <c r="L6" s="14"/>
      <c r="M6" s="14"/>
      <c r="N6" s="14"/>
      <c r="O6" s="14"/>
      <c r="P6" s="14"/>
    </row>
    <row r="7" spans="1:16" s="39" customFormat="1" ht="13.5" thickBot="1" x14ac:dyDescent="0.25">
      <c r="A7" s="14"/>
      <c r="B7" s="34"/>
      <c r="C7" s="14"/>
      <c r="D7" s="14"/>
      <c r="E7" s="14"/>
      <c r="F7" s="14"/>
      <c r="G7" s="14"/>
      <c r="H7" s="14"/>
      <c r="I7" s="14"/>
      <c r="J7" s="14"/>
      <c r="K7" s="14"/>
      <c r="L7" s="14"/>
      <c r="M7" s="14"/>
      <c r="N7" s="14"/>
      <c r="O7" s="14"/>
      <c r="P7" s="14"/>
    </row>
    <row r="8" spans="1:16" s="39" customFormat="1" x14ac:dyDescent="0.2">
      <c r="A8" s="14"/>
      <c r="B8" s="40" t="s">
        <v>9</v>
      </c>
      <c r="C8" s="3"/>
      <c r="D8" s="3"/>
      <c r="E8" s="3"/>
      <c r="F8" s="3"/>
      <c r="G8" s="4"/>
      <c r="H8" s="14"/>
      <c r="I8" s="14"/>
      <c r="J8" s="14"/>
      <c r="K8" s="14"/>
      <c r="L8" s="14"/>
      <c r="M8" s="14"/>
      <c r="N8" s="14"/>
      <c r="O8" s="14"/>
      <c r="P8" s="14"/>
    </row>
    <row r="9" spans="1:16" s="39" customFormat="1" x14ac:dyDescent="0.2">
      <c r="A9" s="14"/>
      <c r="B9" s="5" t="s">
        <v>24</v>
      </c>
      <c r="C9" s="6"/>
      <c r="D9" s="41">
        <f>+D54</f>
        <v>0</v>
      </c>
      <c r="E9" s="6"/>
      <c r="F9" s="6"/>
      <c r="G9" s="7"/>
      <c r="H9" s="14"/>
      <c r="I9" s="14"/>
      <c r="J9" s="14"/>
      <c r="K9" s="14"/>
      <c r="L9" s="14"/>
      <c r="M9" s="14"/>
      <c r="N9" s="14"/>
      <c r="O9" s="14"/>
      <c r="P9" s="14"/>
    </row>
    <row r="10" spans="1:16" s="39" customFormat="1" x14ac:dyDescent="0.2">
      <c r="A10" s="14"/>
      <c r="B10" s="5"/>
      <c r="C10" s="6"/>
      <c r="D10" s="6"/>
      <c r="E10" s="6"/>
      <c r="F10" s="6"/>
      <c r="G10" s="7"/>
      <c r="H10" s="14"/>
      <c r="I10" s="14"/>
      <c r="J10" s="14"/>
      <c r="K10" s="14"/>
      <c r="L10" s="14"/>
      <c r="M10" s="14"/>
      <c r="N10" s="14"/>
      <c r="O10" s="14"/>
      <c r="P10" s="14"/>
    </row>
    <row r="11" spans="1:16" s="39" customFormat="1" x14ac:dyDescent="0.2">
      <c r="A11" s="14"/>
      <c r="B11" s="61" t="s">
        <v>54</v>
      </c>
      <c r="C11" s="6"/>
      <c r="D11" s="41">
        <f>+D23</f>
        <v>0</v>
      </c>
      <c r="E11" s="6"/>
      <c r="F11" s="6"/>
      <c r="G11" s="7"/>
      <c r="H11" s="14"/>
      <c r="I11" s="14"/>
      <c r="J11" s="14"/>
      <c r="K11" s="14"/>
      <c r="L11" s="14"/>
      <c r="M11" s="14"/>
      <c r="N11" s="14"/>
      <c r="O11" s="14"/>
      <c r="P11" s="14"/>
    </row>
    <row r="12" spans="1:16" s="39" customFormat="1" x14ac:dyDescent="0.2">
      <c r="A12" s="14"/>
      <c r="B12" s="5" t="s">
        <v>31</v>
      </c>
      <c r="C12" s="6"/>
      <c r="D12" s="41">
        <f>+D24</f>
        <v>0</v>
      </c>
      <c r="E12" s="6"/>
      <c r="F12" s="6"/>
      <c r="G12" s="7"/>
      <c r="H12" s="14"/>
      <c r="I12" s="14"/>
      <c r="J12" s="14"/>
      <c r="K12" s="14"/>
      <c r="L12" s="14"/>
      <c r="M12" s="14"/>
      <c r="N12" s="14"/>
      <c r="O12" s="14"/>
      <c r="P12" s="14"/>
    </row>
    <row r="13" spans="1:16" s="39" customFormat="1" x14ac:dyDescent="0.2">
      <c r="A13" s="14"/>
      <c r="B13" s="5" t="s">
        <v>10</v>
      </c>
      <c r="C13" s="6"/>
      <c r="D13" s="41">
        <f>+D64</f>
        <v>0</v>
      </c>
      <c r="E13" s="6"/>
      <c r="F13" s="6"/>
      <c r="G13" s="7"/>
      <c r="H13" s="14"/>
      <c r="I13" s="14"/>
      <c r="J13" s="14"/>
      <c r="K13" s="14"/>
      <c r="L13" s="14"/>
      <c r="M13" s="14"/>
      <c r="N13" s="14"/>
      <c r="O13" s="14"/>
      <c r="P13" s="14"/>
    </row>
    <row r="14" spans="1:16" s="39" customFormat="1" x14ac:dyDescent="0.2">
      <c r="A14" s="14"/>
      <c r="B14" s="5" t="s">
        <v>21</v>
      </c>
      <c r="C14" s="6"/>
      <c r="D14" s="41">
        <f>+D13+D12+D11</f>
        <v>0</v>
      </c>
      <c r="E14" s="6"/>
      <c r="F14" s="6"/>
      <c r="G14" s="7"/>
      <c r="H14" s="14"/>
      <c r="I14" s="14"/>
      <c r="J14" s="14"/>
      <c r="K14" s="14"/>
      <c r="L14" s="14"/>
      <c r="M14" s="14"/>
      <c r="N14" s="14"/>
      <c r="O14" s="14"/>
      <c r="P14" s="14"/>
    </row>
    <row r="15" spans="1:16" s="39" customFormat="1" x14ac:dyDescent="0.2">
      <c r="A15" s="14"/>
      <c r="B15" s="5"/>
      <c r="C15" s="6"/>
      <c r="D15" s="6"/>
      <c r="E15" s="6"/>
      <c r="F15" s="6"/>
      <c r="G15" s="7"/>
      <c r="H15" s="14"/>
      <c r="I15" s="14"/>
      <c r="J15" s="14"/>
      <c r="K15" s="14"/>
      <c r="L15" s="14"/>
      <c r="M15" s="14"/>
      <c r="N15" s="14"/>
      <c r="O15" s="14"/>
      <c r="P15" s="14"/>
    </row>
    <row r="16" spans="1:16" s="39" customFormat="1" ht="13.5" thickBot="1" x14ac:dyDescent="0.25">
      <c r="A16" s="14"/>
      <c r="B16" s="11" t="s">
        <v>25</v>
      </c>
      <c r="C16" s="12"/>
      <c r="D16" s="27" t="str">
        <f>IF(D14&gt;D9,D14-D9,"NO")</f>
        <v>NO</v>
      </c>
      <c r="E16" s="12"/>
      <c r="F16" s="12"/>
      <c r="G16" s="13"/>
      <c r="H16" s="14"/>
      <c r="I16" s="14"/>
      <c r="J16" s="14"/>
      <c r="K16" s="14"/>
      <c r="L16" s="14"/>
      <c r="M16" s="14"/>
      <c r="N16" s="14"/>
      <c r="O16" s="14"/>
      <c r="P16" s="14"/>
    </row>
    <row r="17" spans="2:9" ht="13.5" thickBot="1" x14ac:dyDescent="0.25">
      <c r="I17" s="53"/>
    </row>
    <row r="18" spans="2:9" x14ac:dyDescent="0.2">
      <c r="B18" s="40" t="s">
        <v>14</v>
      </c>
      <c r="C18" s="3"/>
      <c r="D18" s="3"/>
      <c r="E18" s="3"/>
      <c r="F18" s="3"/>
      <c r="G18" s="4"/>
    </row>
    <row r="19" spans="2:9" x14ac:dyDescent="0.2">
      <c r="B19" s="5"/>
      <c r="C19" s="6"/>
      <c r="D19" s="6"/>
      <c r="E19" s="6"/>
      <c r="F19" s="6"/>
      <c r="G19" s="7"/>
    </row>
    <row r="20" spans="2:9" x14ac:dyDescent="0.2">
      <c r="B20" s="5" t="s">
        <v>13</v>
      </c>
      <c r="C20" s="6"/>
      <c r="D20" s="8"/>
      <c r="E20" s="6"/>
      <c r="F20" s="6"/>
      <c r="G20" s="7"/>
    </row>
    <row r="21" spans="2:9" x14ac:dyDescent="0.2">
      <c r="B21" s="5"/>
      <c r="C21" s="6"/>
      <c r="D21" s="16"/>
      <c r="E21" s="6"/>
      <c r="F21" s="6"/>
      <c r="G21" s="7"/>
    </row>
    <row r="22" spans="2:9" x14ac:dyDescent="0.2">
      <c r="B22" s="5" t="s">
        <v>2</v>
      </c>
      <c r="C22" s="6"/>
      <c r="D22" s="8"/>
      <c r="E22" s="6"/>
      <c r="F22" s="6"/>
      <c r="G22" s="7"/>
      <c r="I22" s="51"/>
    </row>
    <row r="23" spans="2:9" x14ac:dyDescent="0.2">
      <c r="B23" s="61" t="s">
        <v>49</v>
      </c>
      <c r="C23" s="6"/>
      <c r="D23" s="8"/>
      <c r="E23" s="41" t="e">
        <f>+D23/D20</f>
        <v>#DIV/0!</v>
      </c>
      <c r="F23" s="6" t="s">
        <v>29</v>
      </c>
      <c r="G23" s="7"/>
    </row>
    <row r="24" spans="2:9" x14ac:dyDescent="0.2">
      <c r="B24" s="5" t="s">
        <v>31</v>
      </c>
      <c r="C24" s="6"/>
      <c r="D24" s="8">
        <v>0</v>
      </c>
      <c r="E24" s="41"/>
      <c r="F24" s="6"/>
      <c r="G24" s="7"/>
    </row>
    <row r="25" spans="2:9" x14ac:dyDescent="0.2">
      <c r="B25" s="5" t="s">
        <v>34</v>
      </c>
      <c r="C25" s="6"/>
      <c r="D25" s="8"/>
      <c r="E25" s="9">
        <f>+D25/52</f>
        <v>0</v>
      </c>
      <c r="F25" s="10" t="s">
        <v>8</v>
      </c>
      <c r="G25" s="7"/>
    </row>
    <row r="26" spans="2:9" x14ac:dyDescent="0.2">
      <c r="B26" s="61" t="s">
        <v>57</v>
      </c>
      <c r="C26" s="6"/>
      <c r="D26" s="62">
        <v>2019</v>
      </c>
      <c r="E26" s="9"/>
      <c r="F26" s="10"/>
      <c r="G26" s="7"/>
    </row>
    <row r="27" spans="2:9" x14ac:dyDescent="0.2">
      <c r="B27" s="5" t="s">
        <v>18</v>
      </c>
      <c r="C27" s="6"/>
      <c r="D27" s="17">
        <v>30</v>
      </c>
      <c r="E27" s="9"/>
      <c r="F27" s="10"/>
      <c r="G27" s="7"/>
    </row>
    <row r="28" spans="2:9" x14ac:dyDescent="0.2">
      <c r="B28" s="61" t="s">
        <v>62</v>
      </c>
      <c r="C28" s="6"/>
      <c r="D28" s="17" t="s">
        <v>63</v>
      </c>
      <c r="E28" s="9"/>
      <c r="F28" s="10"/>
      <c r="G28" s="7"/>
    </row>
    <row r="29" spans="2:9" ht="13.5" thickBot="1" x14ac:dyDescent="0.25">
      <c r="B29" s="11"/>
      <c r="C29" s="12"/>
      <c r="D29" s="12"/>
      <c r="E29" s="12"/>
      <c r="F29" s="12"/>
      <c r="G29" s="13"/>
    </row>
    <row r="30" spans="2:9" ht="13.5" thickBot="1" x14ac:dyDescent="0.25"/>
    <row r="31" spans="2:9" x14ac:dyDescent="0.2">
      <c r="B31" s="40" t="s">
        <v>12</v>
      </c>
      <c r="C31" s="3"/>
      <c r="D31" s="3"/>
      <c r="E31" s="3"/>
      <c r="F31" s="3"/>
      <c r="G31" s="4"/>
      <c r="H31" s="6"/>
    </row>
    <row r="32" spans="2:9" x14ac:dyDescent="0.2">
      <c r="B32" s="5"/>
      <c r="C32" s="6"/>
      <c r="D32" s="6"/>
      <c r="E32" s="6"/>
      <c r="F32" s="6"/>
      <c r="G32" s="7"/>
      <c r="H32" s="6"/>
    </row>
    <row r="33" spans="2:9" x14ac:dyDescent="0.2">
      <c r="B33" s="5" t="s">
        <v>3</v>
      </c>
      <c r="C33" s="6"/>
      <c r="D33" s="6"/>
      <c r="E33" s="6"/>
      <c r="F33" s="6"/>
      <c r="G33" s="7"/>
      <c r="H33" s="6"/>
    </row>
    <row r="34" spans="2:9" x14ac:dyDescent="0.2">
      <c r="B34" s="5" t="s">
        <v>1</v>
      </c>
      <c r="C34" s="6"/>
      <c r="D34" s="75">
        <f>IF(D28='Assumption Data'!D35,VLOOKUP(Template!D26,'Assumption Data'!C36:E41,2,))</f>
        <v>4.1200000000000001E-2</v>
      </c>
      <c r="E34" s="6"/>
      <c r="F34" s="6"/>
      <c r="G34" s="7"/>
      <c r="H34" s="6"/>
    </row>
    <row r="35" spans="2:9" x14ac:dyDescent="0.2">
      <c r="B35" s="5" t="s">
        <v>11</v>
      </c>
      <c r="C35" s="6"/>
      <c r="D35" s="26">
        <f>VLOOKUP(D26,'Assumption Data'!D20:L26,9)</f>
        <v>0.02</v>
      </c>
      <c r="E35" s="6"/>
      <c r="F35" s="28" t="s">
        <v>4</v>
      </c>
      <c r="G35" s="29">
        <f>(1-((1+D$34)/(1+D35))^-D27)/(D$34-D35)</f>
        <v>21.722347311204686</v>
      </c>
      <c r="H35" s="6"/>
    </row>
    <row r="36" spans="2:9" x14ac:dyDescent="0.2">
      <c r="B36" s="5" t="s">
        <v>0</v>
      </c>
      <c r="C36" s="6"/>
      <c r="D36" s="26">
        <f>VLOOKUP(D26,'Assumption Data'!D20:L26,8)</f>
        <v>0.03</v>
      </c>
      <c r="E36" s="6"/>
      <c r="F36" s="28" t="s">
        <v>5</v>
      </c>
      <c r="G36" s="29">
        <f>(1-((1+D$34)/(1+D36))^-D27)/(D$34-D36)</f>
        <v>24.739030360825716</v>
      </c>
      <c r="H36" s="6"/>
    </row>
    <row r="37" spans="2:9" x14ac:dyDescent="0.2">
      <c r="B37" s="18"/>
      <c r="C37" s="19"/>
      <c r="D37" s="20"/>
      <c r="E37" s="19"/>
      <c r="F37" s="6"/>
      <c r="G37" s="7"/>
      <c r="H37" s="6"/>
    </row>
    <row r="38" spans="2:9" x14ac:dyDescent="0.2">
      <c r="B38" s="61" t="s">
        <v>56</v>
      </c>
      <c r="C38" s="6"/>
      <c r="D38" s="26">
        <f>VLOOKUP(D26,'Assumption Data'!D20:L26,7)</f>
        <v>2.0999999999999998E-2</v>
      </c>
      <c r="E38" s="6"/>
      <c r="F38" s="6"/>
      <c r="G38" s="7"/>
      <c r="H38" s="6"/>
    </row>
    <row r="39" spans="2:9" x14ac:dyDescent="0.2">
      <c r="B39" s="5"/>
      <c r="C39" s="6"/>
      <c r="D39" s="19"/>
      <c r="E39" s="6"/>
      <c r="F39" s="6"/>
      <c r="G39" s="7"/>
      <c r="H39" s="6"/>
    </row>
    <row r="40" spans="2:9" x14ac:dyDescent="0.2">
      <c r="B40" s="61"/>
      <c r="C40" s="19"/>
      <c r="D40" s="6"/>
      <c r="E40" s="6"/>
      <c r="F40" s="6"/>
      <c r="G40" s="7"/>
      <c r="H40" s="6"/>
      <c r="I40" s="42"/>
    </row>
    <row r="41" spans="2:9" x14ac:dyDescent="0.2">
      <c r="B41" s="61" t="s">
        <v>6</v>
      </c>
      <c r="C41" s="19">
        <f>VLOOKUP(D26,'Assumption Data'!D20:L26,3)</f>
        <v>1241</v>
      </c>
      <c r="D41" s="6"/>
      <c r="E41" s="6"/>
      <c r="F41" s="6"/>
      <c r="G41" s="7"/>
      <c r="H41" s="6"/>
    </row>
    <row r="42" spans="2:9" x14ac:dyDescent="0.2">
      <c r="B42" s="61" t="s">
        <v>43</v>
      </c>
      <c r="C42" s="19">
        <f>VLOOKUP(D26,'Assumption Data'!D20:L26,4)</f>
        <v>1135</v>
      </c>
      <c r="D42" s="6"/>
      <c r="E42" s="6"/>
      <c r="F42" s="6"/>
      <c r="G42" s="7"/>
      <c r="H42" s="6"/>
    </row>
    <row r="43" spans="2:9" x14ac:dyDescent="0.2">
      <c r="B43" s="61" t="s">
        <v>7</v>
      </c>
      <c r="C43" s="19">
        <f>VLOOKUP(D26,'Assumption Data'!D20:L26,5)</f>
        <v>1277</v>
      </c>
      <c r="D43" s="6"/>
      <c r="E43" s="6"/>
      <c r="F43" s="6"/>
      <c r="G43" s="7"/>
      <c r="H43" s="6"/>
    </row>
    <row r="44" spans="2:9" x14ac:dyDescent="0.2">
      <c r="B44" s="61"/>
      <c r="C44" s="19"/>
      <c r="D44" s="6"/>
      <c r="E44" s="6"/>
      <c r="F44" s="6"/>
      <c r="G44" s="7"/>
      <c r="H44" s="6"/>
    </row>
    <row r="45" spans="2:9" x14ac:dyDescent="0.2">
      <c r="B45" s="5"/>
      <c r="C45" s="19"/>
      <c r="D45" s="15">
        <f>SUM(C40:C45)</f>
        <v>3653</v>
      </c>
      <c r="E45" s="6"/>
      <c r="F45" s="6"/>
      <c r="G45" s="7"/>
      <c r="H45" s="6"/>
    </row>
    <row r="46" spans="2:9" ht="13.5" thickBot="1" x14ac:dyDescent="0.25">
      <c r="B46" s="11"/>
      <c r="C46" s="12"/>
      <c r="D46" s="12"/>
      <c r="E46" s="12"/>
      <c r="F46" s="12"/>
      <c r="G46" s="13"/>
      <c r="H46" s="6"/>
    </row>
    <row r="47" spans="2:9" ht="13.5" thickBot="1" x14ac:dyDescent="0.25">
      <c r="B47" s="6"/>
      <c r="C47" s="6"/>
      <c r="D47" s="6"/>
      <c r="E47" s="6"/>
      <c r="F47" s="6"/>
      <c r="G47" s="6"/>
      <c r="H47" s="6"/>
    </row>
    <row r="48" spans="2:9" x14ac:dyDescent="0.2">
      <c r="B48" s="40" t="s">
        <v>23</v>
      </c>
      <c r="C48" s="3"/>
      <c r="D48" s="3"/>
      <c r="E48" s="3"/>
      <c r="F48" s="3"/>
      <c r="G48" s="4"/>
    </row>
    <row r="49" spans="2:7" x14ac:dyDescent="0.2">
      <c r="B49" s="5"/>
      <c r="C49" s="6"/>
      <c r="D49" s="6"/>
      <c r="E49" s="6"/>
      <c r="F49" s="6"/>
      <c r="G49" s="7"/>
    </row>
    <row r="50" spans="2:7" x14ac:dyDescent="0.2">
      <c r="B50" s="5" t="s">
        <v>15</v>
      </c>
      <c r="C50" s="6"/>
      <c r="D50" s="15">
        <f>+D25*(1-D38)*G36</f>
        <v>0</v>
      </c>
      <c r="E50" s="6"/>
      <c r="F50" s="6"/>
      <c r="G50" s="7"/>
    </row>
    <row r="51" spans="2:7" x14ac:dyDescent="0.2">
      <c r="B51" s="5" t="s">
        <v>16</v>
      </c>
      <c r="C51" s="6"/>
      <c r="D51" s="15">
        <f>+G35*D45</f>
        <v>79351.734727830713</v>
      </c>
      <c r="E51" s="6"/>
      <c r="F51" s="6"/>
      <c r="G51" s="7"/>
    </row>
    <row r="52" spans="2:7" x14ac:dyDescent="0.2">
      <c r="B52" s="5"/>
      <c r="C52" s="6"/>
      <c r="D52" s="15"/>
      <c r="E52" s="6"/>
      <c r="F52" s="6"/>
      <c r="G52" s="7"/>
    </row>
    <row r="53" spans="2:7" x14ac:dyDescent="0.2">
      <c r="B53" s="18" t="s">
        <v>26</v>
      </c>
      <c r="C53" s="19"/>
      <c r="D53" s="24">
        <f>(+D50-D51)*D20</f>
        <v>0</v>
      </c>
      <c r="E53" s="25" t="e">
        <f>+D53/D55</f>
        <v>#DIV/0!</v>
      </c>
      <c r="F53" s="6"/>
      <c r="G53" s="7"/>
    </row>
    <row r="54" spans="2:7" x14ac:dyDescent="0.2">
      <c r="B54" s="21" t="s">
        <v>24</v>
      </c>
      <c r="C54" s="22"/>
      <c r="D54" s="23">
        <f>+D22-D53</f>
        <v>0</v>
      </c>
      <c r="E54" s="25" t="e">
        <f>+D54/D55</f>
        <v>#DIV/0!</v>
      </c>
      <c r="F54" s="6"/>
      <c r="G54" s="7"/>
    </row>
    <row r="55" spans="2:7" x14ac:dyDescent="0.2">
      <c r="B55" s="18" t="s">
        <v>27</v>
      </c>
      <c r="C55" s="19"/>
      <c r="D55" s="24">
        <f>+D54+D53</f>
        <v>0</v>
      </c>
      <c r="E55" s="19"/>
      <c r="F55" s="6"/>
      <c r="G55" s="7"/>
    </row>
    <row r="56" spans="2:7" ht="13.5" thickBot="1" x14ac:dyDescent="0.25">
      <c r="B56" s="11"/>
      <c r="C56" s="12"/>
      <c r="D56" s="12"/>
      <c r="E56" s="12"/>
      <c r="F56" s="12"/>
      <c r="G56" s="13"/>
    </row>
    <row r="57" spans="2:7" ht="13.5" thickBot="1" x14ac:dyDescent="0.25"/>
    <row r="58" spans="2:7" x14ac:dyDescent="0.2">
      <c r="B58" s="43" t="s">
        <v>33</v>
      </c>
      <c r="C58" s="3"/>
      <c r="D58" s="3"/>
      <c r="E58" s="3"/>
      <c r="F58" s="3"/>
      <c r="G58" s="4"/>
    </row>
    <row r="59" spans="2:7" x14ac:dyDescent="0.2">
      <c r="B59" s="5"/>
      <c r="C59" s="6"/>
      <c r="D59" s="6"/>
      <c r="E59" s="6"/>
      <c r="F59" s="6"/>
      <c r="G59" s="7"/>
    </row>
    <row r="60" spans="2:7" x14ac:dyDescent="0.2">
      <c r="B60" s="5" t="s">
        <v>17</v>
      </c>
      <c r="C60" s="6"/>
      <c r="D60" s="41">
        <f>+D22-D23-D24</f>
        <v>0</v>
      </c>
      <c r="E60" s="6"/>
      <c r="F60" s="6"/>
      <c r="G60" s="7"/>
    </row>
    <row r="61" spans="2:7" x14ac:dyDescent="0.2">
      <c r="B61" s="5"/>
      <c r="C61" s="6"/>
      <c r="D61" s="6"/>
      <c r="E61" s="6"/>
      <c r="F61" s="6"/>
      <c r="G61" s="7"/>
    </row>
    <row r="62" spans="2:7" x14ac:dyDescent="0.2">
      <c r="B62" s="5" t="s">
        <v>19</v>
      </c>
      <c r="C62" s="6"/>
      <c r="D62" s="33"/>
      <c r="E62" s="6"/>
      <c r="F62" s="6"/>
      <c r="G62" s="7"/>
    </row>
    <row r="63" spans="2:7" x14ac:dyDescent="0.2">
      <c r="B63" s="5" t="s">
        <v>20</v>
      </c>
      <c r="C63" s="6"/>
      <c r="D63" s="41">
        <f>+D62*D60</f>
        <v>0</v>
      </c>
      <c r="E63" s="6"/>
      <c r="F63" s="6"/>
      <c r="G63" s="7"/>
    </row>
    <row r="64" spans="2:7" ht="13.5" thickBot="1" x14ac:dyDescent="0.25">
      <c r="B64" s="30" t="s">
        <v>22</v>
      </c>
      <c r="C64" s="31"/>
      <c r="D64" s="32">
        <f>PV(+D35,30,-D63)</f>
        <v>0</v>
      </c>
      <c r="E64" s="12"/>
      <c r="F64" s="12"/>
      <c r="G64" s="13"/>
    </row>
    <row r="68" spans="4:7" x14ac:dyDescent="0.2">
      <c r="D68" s="51"/>
    </row>
    <row r="70" spans="4:7" x14ac:dyDescent="0.2">
      <c r="G70" s="44"/>
    </row>
    <row r="72" spans="4:7" x14ac:dyDescent="0.2">
      <c r="E72" s="45"/>
      <c r="G72" s="46"/>
    </row>
  </sheetData>
  <mergeCells count="3">
    <mergeCell ref="C2:E2"/>
    <mergeCell ref="C3:E3"/>
    <mergeCell ref="G4:K4"/>
  </mergeCells>
  <pageMargins left="0.7" right="0.7" top="0.75" bottom="0.75" header="0.3" footer="0.3"/>
  <pageSetup paperSize="9" scale="8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'Assumption Data'!$D$21:$D$26</xm:f>
          </x14:formula1>
          <xm:sqref>D26</xm:sqref>
        </x14:dataValidation>
        <x14:dataValidation type="list" allowBlank="1" showInputMessage="1" showErrorMessage="1">
          <x14:formula1>
            <xm:f>'Assumption Data'!$D$35:$E$35</xm:f>
          </x14:formula1>
          <xm:sqref>D28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topLeftCell="B17" workbookViewId="0">
      <selection activeCell="L19" sqref="L19"/>
    </sheetView>
  </sheetViews>
  <sheetFormatPr defaultRowHeight="12.75" x14ac:dyDescent="0.2"/>
  <cols>
    <col min="2" max="2" width="28.28515625" customWidth="1"/>
    <col min="10" max="10" width="17" customWidth="1"/>
    <col min="11" max="11" width="19.85546875" bestFit="1" customWidth="1"/>
    <col min="12" max="12" width="11.5703125" customWidth="1"/>
  </cols>
  <sheetData>
    <row r="1" spans="2:15" x14ac:dyDescent="0.2">
      <c r="B1" s="34" t="s">
        <v>58</v>
      </c>
    </row>
    <row r="3" spans="2:15" x14ac:dyDescent="0.2">
      <c r="C3" s="47">
        <v>2016</v>
      </c>
      <c r="D3" s="47">
        <v>2017</v>
      </c>
      <c r="E3" s="47">
        <v>2018</v>
      </c>
      <c r="F3" s="47">
        <v>2019</v>
      </c>
      <c r="G3" s="67">
        <v>2020</v>
      </c>
      <c r="H3" s="67">
        <v>2021</v>
      </c>
      <c r="I3" s="14"/>
      <c r="J3" s="14"/>
      <c r="K3" s="14"/>
      <c r="L3" s="54"/>
    </row>
    <row r="4" spans="2:15" x14ac:dyDescent="0.2">
      <c r="C4" s="47"/>
      <c r="D4" s="60" t="s">
        <v>39</v>
      </c>
      <c r="E4" s="60"/>
      <c r="F4" s="60"/>
      <c r="G4" s="60"/>
      <c r="H4" s="60"/>
      <c r="I4" s="60"/>
      <c r="J4" s="58"/>
      <c r="K4" s="85"/>
      <c r="L4" s="86"/>
      <c r="M4" s="59"/>
      <c r="N4" s="59"/>
      <c r="O4" s="59"/>
    </row>
    <row r="5" spans="2:15" x14ac:dyDescent="0.2">
      <c r="D5" s="48">
        <v>2.4E-2</v>
      </c>
      <c r="E5" s="48">
        <v>2.3E-2</v>
      </c>
      <c r="F5" s="48">
        <v>0.02</v>
      </c>
      <c r="G5" s="48">
        <v>0.02</v>
      </c>
      <c r="H5" s="50">
        <v>0.02</v>
      </c>
      <c r="I5" s="50"/>
      <c r="J5" s="50"/>
      <c r="K5" s="50"/>
      <c r="L5" s="50"/>
    </row>
    <row r="6" spans="2:15" x14ac:dyDescent="0.2">
      <c r="B6" s="54" t="s">
        <v>42</v>
      </c>
      <c r="C6">
        <v>4215</v>
      </c>
      <c r="D6" s="68">
        <v>2990</v>
      </c>
      <c r="E6" s="68">
        <v>3186</v>
      </c>
      <c r="F6" s="49">
        <f t="shared" ref="F6" si="0">ROUND(+E6*(1+F$5),0)</f>
        <v>3250</v>
      </c>
      <c r="G6" s="49">
        <f t="shared" ref="G6:G10" si="1">ROUND(+F6*(1+G$5),0)</f>
        <v>3315</v>
      </c>
      <c r="H6" s="49">
        <f t="shared" ref="H6:H10" si="2">ROUND(+G6*(1+H$5),0)</f>
        <v>3381</v>
      </c>
      <c r="I6" s="49"/>
      <c r="J6" s="49" t="s">
        <v>55</v>
      </c>
      <c r="K6" s="49"/>
      <c r="L6" s="49"/>
    </row>
    <row r="7" spans="2:15" x14ac:dyDescent="0.2">
      <c r="B7" s="54" t="s">
        <v>6</v>
      </c>
      <c r="C7">
        <v>1360</v>
      </c>
      <c r="D7" s="68">
        <v>1181</v>
      </c>
      <c r="E7" s="68">
        <v>1217</v>
      </c>
      <c r="F7" s="49">
        <f t="shared" ref="F7:F8" si="3">ROUND(+E7*(1+F$5),0)</f>
        <v>1241</v>
      </c>
      <c r="G7" s="49">
        <f t="shared" si="1"/>
        <v>1266</v>
      </c>
      <c r="H7" s="49">
        <f t="shared" si="2"/>
        <v>1291</v>
      </c>
      <c r="I7" s="49"/>
      <c r="J7" s="49"/>
      <c r="K7" s="49"/>
      <c r="L7" s="49"/>
    </row>
    <row r="8" spans="2:15" x14ac:dyDescent="0.2">
      <c r="B8" s="54" t="s">
        <v>43</v>
      </c>
      <c r="C8">
        <v>1033</v>
      </c>
      <c r="D8" s="68">
        <v>1091</v>
      </c>
      <c r="E8" s="68">
        <v>1113</v>
      </c>
      <c r="F8" s="49">
        <f t="shared" si="3"/>
        <v>1135</v>
      </c>
      <c r="G8" s="49">
        <f t="shared" si="1"/>
        <v>1158</v>
      </c>
      <c r="H8" s="49">
        <f t="shared" si="2"/>
        <v>1181</v>
      </c>
      <c r="I8" s="49"/>
      <c r="J8" s="49"/>
      <c r="K8" s="49"/>
      <c r="L8" s="49"/>
    </row>
    <row r="9" spans="2:15" x14ac:dyDescent="0.2">
      <c r="B9" s="54" t="s">
        <v>7</v>
      </c>
      <c r="C9">
        <v>1176</v>
      </c>
      <c r="D9" s="68">
        <v>1319</v>
      </c>
      <c r="E9" s="68">
        <v>1252</v>
      </c>
      <c r="F9" s="49">
        <f t="shared" ref="F9:F10" si="4">ROUND(+E9*(1+F$5),0)</f>
        <v>1277</v>
      </c>
      <c r="G9" s="49">
        <f t="shared" si="1"/>
        <v>1303</v>
      </c>
      <c r="H9" s="49">
        <f t="shared" si="2"/>
        <v>1329</v>
      </c>
    </row>
    <row r="10" spans="2:15" x14ac:dyDescent="0.2">
      <c r="B10" s="54" t="s">
        <v>44</v>
      </c>
      <c r="C10">
        <v>29</v>
      </c>
      <c r="D10" s="68">
        <v>29</v>
      </c>
      <c r="E10" s="68">
        <v>32</v>
      </c>
      <c r="F10" s="49">
        <f t="shared" si="4"/>
        <v>33</v>
      </c>
      <c r="G10" s="49">
        <f t="shared" si="1"/>
        <v>34</v>
      </c>
      <c r="H10" s="49">
        <f t="shared" si="2"/>
        <v>35</v>
      </c>
      <c r="L10" s="71" t="s">
        <v>61</v>
      </c>
    </row>
    <row r="11" spans="2:15" x14ac:dyDescent="0.2">
      <c r="E11" s="52"/>
      <c r="H11" s="52"/>
    </row>
    <row r="12" spans="2:15" x14ac:dyDescent="0.2">
      <c r="B12" t="s">
        <v>50</v>
      </c>
      <c r="C12" s="65">
        <v>1.4999999999999999E-2</v>
      </c>
      <c r="D12" s="69">
        <v>1.4999999999999999E-2</v>
      </c>
      <c r="E12" s="69">
        <v>1.4999999999999999E-2</v>
      </c>
      <c r="F12" s="50">
        <v>1.4999999999999999E-2</v>
      </c>
      <c r="G12" s="50">
        <v>1.4999999999999999E-2</v>
      </c>
      <c r="H12" s="50">
        <v>1.4999999999999999E-2</v>
      </c>
    </row>
    <row r="13" spans="2:15" x14ac:dyDescent="0.2">
      <c r="B13" t="s">
        <v>59</v>
      </c>
      <c r="C13" s="65"/>
      <c r="D13" s="70">
        <v>5.0000000000000001E-3</v>
      </c>
      <c r="E13" s="70">
        <v>6.0000000000000001E-3</v>
      </c>
      <c r="F13" s="65">
        <v>6.0000000000000001E-3</v>
      </c>
      <c r="G13" s="65">
        <v>6.0000000000000001E-3</v>
      </c>
      <c r="H13" s="65">
        <v>6.0000000000000001E-3</v>
      </c>
    </row>
    <row r="14" spans="2:15" x14ac:dyDescent="0.2">
      <c r="B14" t="s">
        <v>60</v>
      </c>
      <c r="C14" s="65">
        <v>1.4999999999999999E-2</v>
      </c>
      <c r="D14" s="70">
        <f>D12+D13</f>
        <v>0.02</v>
      </c>
      <c r="E14" s="70">
        <f t="shared" ref="E14:F14" si="5">E12+E13</f>
        <v>2.0999999999999998E-2</v>
      </c>
      <c r="F14" s="65">
        <f t="shared" si="5"/>
        <v>2.0999999999999998E-2</v>
      </c>
      <c r="G14" s="65">
        <f t="shared" ref="G14:H14" si="6">G12+G13</f>
        <v>2.0999999999999998E-2</v>
      </c>
      <c r="H14" s="65">
        <f t="shared" si="6"/>
        <v>2.0999999999999998E-2</v>
      </c>
    </row>
    <row r="15" spans="2:15" x14ac:dyDescent="0.2">
      <c r="C15" s="65"/>
      <c r="D15" s="65"/>
    </row>
    <row r="16" spans="2:15" x14ac:dyDescent="0.2">
      <c r="B16" t="s">
        <v>51</v>
      </c>
      <c r="C16" s="65">
        <v>2.5000000000000001E-2</v>
      </c>
      <c r="D16" s="65">
        <v>3.9E-2</v>
      </c>
      <c r="E16" s="70">
        <v>2.5000000000000001E-2</v>
      </c>
      <c r="F16" s="70">
        <v>4.4999999999999998E-2</v>
      </c>
      <c r="G16" s="70">
        <v>2.4E-2</v>
      </c>
      <c r="H16" s="65">
        <v>0.03</v>
      </c>
      <c r="J16" t="s">
        <v>65</v>
      </c>
    </row>
    <row r="17" spans="2:13" x14ac:dyDescent="0.2">
      <c r="B17" t="s">
        <v>81</v>
      </c>
      <c r="C17" s="65"/>
      <c r="D17" s="65"/>
      <c r="E17" s="81"/>
      <c r="F17" s="81">
        <v>0.03</v>
      </c>
      <c r="G17" s="81"/>
      <c r="H17" s="65"/>
    </row>
    <row r="18" spans="2:13" x14ac:dyDescent="0.2">
      <c r="C18" s="65"/>
      <c r="D18" s="65"/>
      <c r="E18" s="81"/>
      <c r="F18" s="81"/>
      <c r="G18" s="81"/>
      <c r="H18" s="65"/>
    </row>
    <row r="19" spans="2:13" x14ac:dyDescent="0.2">
      <c r="E19" s="54" t="s">
        <v>45</v>
      </c>
      <c r="F19" s="54" t="s">
        <v>46</v>
      </c>
      <c r="G19" s="54" t="s">
        <v>47</v>
      </c>
      <c r="H19" s="54" t="s">
        <v>28</v>
      </c>
      <c r="I19" s="54" t="s">
        <v>48</v>
      </c>
      <c r="J19" s="54" t="s">
        <v>60</v>
      </c>
      <c r="K19" s="54" t="s">
        <v>82</v>
      </c>
      <c r="L19" s="54" t="s">
        <v>11</v>
      </c>
      <c r="M19" s="14"/>
    </row>
    <row r="20" spans="2:13" x14ac:dyDescent="0.2">
      <c r="D20">
        <v>0</v>
      </c>
      <c r="E20" s="14">
        <v>0</v>
      </c>
      <c r="F20" s="14">
        <v>0</v>
      </c>
      <c r="G20" s="14">
        <v>0</v>
      </c>
      <c r="H20" s="54">
        <v>0</v>
      </c>
      <c r="I20" s="54">
        <v>0</v>
      </c>
      <c r="K20" s="14"/>
      <c r="L20" s="14"/>
      <c r="M20" s="14"/>
    </row>
    <row r="21" spans="2:13" x14ac:dyDescent="0.2">
      <c r="D21" s="14">
        <v>2016</v>
      </c>
      <c r="E21">
        <f>C6</f>
        <v>4215</v>
      </c>
      <c r="F21">
        <f>C7</f>
        <v>1360</v>
      </c>
      <c r="G21">
        <f>C8</f>
        <v>1033</v>
      </c>
      <c r="H21">
        <f>C9</f>
        <v>1176</v>
      </c>
      <c r="I21">
        <f>C10</f>
        <v>29</v>
      </c>
      <c r="J21" s="72">
        <f>C14</f>
        <v>1.4999999999999999E-2</v>
      </c>
      <c r="K21" s="65">
        <f>C16</f>
        <v>2.5000000000000001E-2</v>
      </c>
    </row>
    <row r="22" spans="2:13" x14ac:dyDescent="0.2">
      <c r="D22" s="14">
        <v>2017</v>
      </c>
      <c r="E22" s="49">
        <f>D6</f>
        <v>2990</v>
      </c>
      <c r="F22" s="49">
        <f>D7</f>
        <v>1181</v>
      </c>
      <c r="G22" s="49">
        <f>D8</f>
        <v>1091</v>
      </c>
      <c r="H22" s="49">
        <f>D9</f>
        <v>1319</v>
      </c>
      <c r="I22" s="49">
        <f>D10</f>
        <v>29</v>
      </c>
      <c r="J22" s="72">
        <f>D14</f>
        <v>0.02</v>
      </c>
      <c r="K22" s="65">
        <f>D16</f>
        <v>3.9E-2</v>
      </c>
      <c r="L22" s="74">
        <f>D5</f>
        <v>2.4E-2</v>
      </c>
    </row>
    <row r="23" spans="2:13" x14ac:dyDescent="0.2">
      <c r="D23" s="14">
        <v>2018</v>
      </c>
      <c r="E23" s="49">
        <f>E6</f>
        <v>3186</v>
      </c>
      <c r="F23" s="49">
        <f>E7</f>
        <v>1217</v>
      </c>
      <c r="G23" s="49">
        <f>E8</f>
        <v>1113</v>
      </c>
      <c r="H23" s="49">
        <f>E9</f>
        <v>1252</v>
      </c>
      <c r="I23" s="49">
        <f>E10</f>
        <v>32</v>
      </c>
      <c r="J23" s="72">
        <f>E14</f>
        <v>2.0999999999999998E-2</v>
      </c>
      <c r="K23" s="65">
        <f>E16</f>
        <v>2.5000000000000001E-2</v>
      </c>
      <c r="L23" s="74">
        <f>E5</f>
        <v>2.3E-2</v>
      </c>
    </row>
    <row r="24" spans="2:13" x14ac:dyDescent="0.2">
      <c r="D24" s="14">
        <v>2019</v>
      </c>
      <c r="E24" s="49">
        <f>F6</f>
        <v>3250</v>
      </c>
      <c r="F24" s="49">
        <f>F7</f>
        <v>1241</v>
      </c>
      <c r="G24" s="49">
        <f>F8</f>
        <v>1135</v>
      </c>
      <c r="H24" s="49">
        <f>F9</f>
        <v>1277</v>
      </c>
      <c r="I24" s="49">
        <f>F10</f>
        <v>33</v>
      </c>
      <c r="J24" s="72">
        <f>F14</f>
        <v>2.0999999999999998E-2</v>
      </c>
      <c r="K24" s="65">
        <v>0.03</v>
      </c>
      <c r="L24" s="74">
        <f>F5</f>
        <v>0.02</v>
      </c>
    </row>
    <row r="25" spans="2:13" ht="12" customHeight="1" x14ac:dyDescent="0.2">
      <c r="D25" s="54">
        <v>2020</v>
      </c>
      <c r="E25" s="49">
        <f>G6</f>
        <v>3315</v>
      </c>
      <c r="F25" s="49">
        <f>G7</f>
        <v>1266</v>
      </c>
      <c r="G25" s="49">
        <f>G8</f>
        <v>1158</v>
      </c>
      <c r="H25">
        <f>G9</f>
        <v>1303</v>
      </c>
      <c r="I25">
        <f>G10</f>
        <v>34</v>
      </c>
      <c r="J25" s="65">
        <f>G14</f>
        <v>2.0999999999999998E-2</v>
      </c>
      <c r="K25" s="65">
        <v>0.03</v>
      </c>
      <c r="L25" s="74">
        <f>G5</f>
        <v>0.02</v>
      </c>
    </row>
    <row r="26" spans="2:13" x14ac:dyDescent="0.2">
      <c r="D26" s="54">
        <v>2021</v>
      </c>
      <c r="E26" s="49">
        <f>H6</f>
        <v>3381</v>
      </c>
      <c r="F26" s="49">
        <f>H7</f>
        <v>1291</v>
      </c>
      <c r="G26" s="49">
        <f>H7</f>
        <v>1291</v>
      </c>
      <c r="H26" s="49">
        <f>H9</f>
        <v>1329</v>
      </c>
      <c r="I26" s="49">
        <f>H10</f>
        <v>35</v>
      </c>
      <c r="J26" s="65">
        <f>H14</f>
        <v>2.0999999999999998E-2</v>
      </c>
      <c r="K26" s="65">
        <f>H16</f>
        <v>0.03</v>
      </c>
      <c r="L26" s="65">
        <f>H5</f>
        <v>0.02</v>
      </c>
    </row>
    <row r="29" spans="2:13" x14ac:dyDescent="0.2">
      <c r="D29" t="s">
        <v>40</v>
      </c>
      <c r="H29" t="s">
        <v>11</v>
      </c>
    </row>
    <row r="31" spans="2:13" x14ac:dyDescent="0.2">
      <c r="C31" s="54" t="s">
        <v>64</v>
      </c>
      <c r="D31">
        <v>2015</v>
      </c>
      <c r="E31">
        <v>2016</v>
      </c>
      <c r="F31">
        <v>2017</v>
      </c>
      <c r="G31">
        <v>2018</v>
      </c>
      <c r="H31">
        <v>2019</v>
      </c>
      <c r="I31">
        <v>2020</v>
      </c>
    </row>
    <row r="32" spans="2:13" x14ac:dyDescent="0.2">
      <c r="C32" s="54" t="s">
        <v>63</v>
      </c>
      <c r="D32" s="65">
        <v>4.2999999999999997E-2</v>
      </c>
      <c r="E32" s="65">
        <v>4.2999999999999997E-2</v>
      </c>
      <c r="F32" s="70">
        <v>4.3999999999999997E-2</v>
      </c>
      <c r="G32" s="70">
        <v>4.1200000000000001E-2</v>
      </c>
      <c r="H32" s="65">
        <f>G32</f>
        <v>4.1200000000000001E-2</v>
      </c>
      <c r="I32" s="65">
        <f>H32</f>
        <v>4.1200000000000001E-2</v>
      </c>
    </row>
    <row r="33" spans="3:9" x14ac:dyDescent="0.2">
      <c r="C33" t="s">
        <v>41</v>
      </c>
      <c r="D33" s="65">
        <v>5.7000000000000002E-2</v>
      </c>
      <c r="E33" s="65">
        <v>5.3999999999999999E-2</v>
      </c>
      <c r="F33" s="70">
        <v>6.3E-2</v>
      </c>
      <c r="G33" s="70">
        <v>6.1500000000000006E-2</v>
      </c>
      <c r="H33" s="65">
        <f>G33</f>
        <v>6.1500000000000006E-2</v>
      </c>
      <c r="I33" s="65">
        <f>H33</f>
        <v>6.1500000000000006E-2</v>
      </c>
    </row>
    <row r="35" spans="3:9" x14ac:dyDescent="0.2">
      <c r="D35" t="s">
        <v>63</v>
      </c>
      <c r="E35" t="s">
        <v>67</v>
      </c>
    </row>
    <row r="36" spans="3:9" x14ac:dyDescent="0.2">
      <c r="C36">
        <v>2015</v>
      </c>
      <c r="D36" s="65">
        <v>4.2999999999999997E-2</v>
      </c>
      <c r="E36" s="65">
        <v>5.7000000000000002E-2</v>
      </c>
    </row>
    <row r="37" spans="3:9" x14ac:dyDescent="0.2">
      <c r="C37">
        <v>2016</v>
      </c>
      <c r="D37" s="65">
        <v>4.2999999999999997E-2</v>
      </c>
      <c r="E37" s="65">
        <v>5.3999999999999999E-2</v>
      </c>
    </row>
    <row r="38" spans="3:9" x14ac:dyDescent="0.2">
      <c r="C38">
        <v>2017</v>
      </c>
      <c r="D38" s="65">
        <v>4.3999999999999997E-2</v>
      </c>
      <c r="E38" s="65">
        <v>6.3E-2</v>
      </c>
    </row>
    <row r="39" spans="3:9" x14ac:dyDescent="0.2">
      <c r="C39">
        <v>2018</v>
      </c>
      <c r="D39" s="65">
        <v>4.1200000000000001E-2</v>
      </c>
      <c r="E39" s="65">
        <v>6.1499999999999999E-2</v>
      </c>
    </row>
    <row r="40" spans="3:9" x14ac:dyDescent="0.2">
      <c r="C40">
        <v>2019</v>
      </c>
      <c r="D40" s="65">
        <f>D39</f>
        <v>4.1200000000000001E-2</v>
      </c>
      <c r="E40" s="65">
        <f>E39</f>
        <v>6.1499999999999999E-2</v>
      </c>
    </row>
    <row r="41" spans="3:9" x14ac:dyDescent="0.2">
      <c r="C41">
        <v>2020</v>
      </c>
      <c r="D41" s="65">
        <f>D40</f>
        <v>4.1200000000000001E-2</v>
      </c>
      <c r="E41" s="65">
        <f>E40</f>
        <v>6.1499999999999999E-2</v>
      </c>
    </row>
  </sheetData>
  <mergeCells count="1">
    <mergeCell ref="K4:L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A27749383</value>
    </field>
    <field name="Objective-Title">
      <value order="0">Appendix 9 - SGEI Proforma</value>
    </field>
    <field name="Objective-Description">
      <value order="0"/>
    </field>
    <field name="Objective-CreationStamp">
      <value order="0">2019-10-11T08:27:34Z</value>
    </field>
    <field name="Objective-IsApproved">
      <value order="0">false</value>
    </field>
    <field name="Objective-IsPublished">
      <value order="0">true</value>
    </field>
    <field name="Objective-DatePublished">
      <value order="0">2019-10-17T13:05:56Z</value>
    </field>
    <field name="Objective-ModificationStamp">
      <value order="0">2019-10-17T13:05:56Z</value>
    </field>
    <field name="Objective-Owner">
      <value order="0">Lammie, Campbell (EPS-Homes and Places)</value>
    </field>
    <field name="Objective-Path">
      <value order="0">Objective Global Folder:Business File Plan:Education &amp; Public Services (EPS):Education &amp; Public Services (EPS) - Housing &amp; Regeneration - Homes, Places &amp; Regeneration:1 - Save:Capital Grants:SHG Process - NEW - October 2018:Monitoring &amp; Assessment - New Social Housing Grant Process - October 2018 :Guidance for issue</value>
    </field>
    <field name="Objective-Parent">
      <value order="0">Guidance for issue</value>
    </field>
    <field name="Objective-State">
      <value order="0">Published</value>
    </field>
    <field name="Objective-VersionId">
      <value order="0">vA55394165</value>
    </field>
    <field name="Objective-Version">
      <value order="0">2.0</value>
    </field>
    <field name="Objective-VersionNumber">
      <value order="0">2</value>
    </field>
    <field name="Objective-VersionComment">
      <value order="0"/>
    </field>
    <field name="Objective-FileNumber">
      <value order="0">qA1360002</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2019-10-11T00:00:00Z</value>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Completed Sample Template</vt:lpstr>
      <vt:lpstr>Guidance</vt:lpstr>
      <vt:lpstr>Template</vt:lpstr>
      <vt:lpstr>Assumption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2019-11-04T16:13:35Z</dcterms:created>
  <dcterms:modified xsi:type="dcterms:W3CDTF">2019-11-04T16:13:42Z</dcterms:modified>
</cp:coreProperties>
</file>